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tabRatio="781" activeTab="1"/>
  </bookViews>
  <sheets>
    <sheet name="报价汇总表" sheetId="1" r:id="rId1"/>
    <sheet name="综合单价分析表" sheetId="2" r:id="rId2"/>
    <sheet name="主要材料表" sheetId="3" r:id="rId3"/>
    <sheet name="推拉窗" sheetId="4" state="hidden" r:id="rId4"/>
    <sheet name="地弹簧门" sheetId="5" state="hidden" r:id="rId5"/>
  </sheets>
  <definedNames>
    <definedName name="_xlnm.Print_Titles" localSheetId="0">'报价汇总表'!$2:$3</definedName>
  </definedNames>
  <calcPr fullCalcOnLoad="1"/>
</workbook>
</file>

<file path=xl/sharedStrings.xml><?xml version="1.0" encoding="utf-8"?>
<sst xmlns="http://schemas.openxmlformats.org/spreadsheetml/2006/main" count="1825" uniqueCount="302">
  <si>
    <t>海安校区土木工程学院---教学楼、实训楼门窗汇总表</t>
  </si>
  <si>
    <t>序号</t>
  </si>
  <si>
    <t>窗号</t>
  </si>
  <si>
    <t>窗型</t>
  </si>
  <si>
    <t>系列</t>
  </si>
  <si>
    <t>玻璃构造</t>
  </si>
  <si>
    <t>洞口尺寸（mm）</t>
  </si>
  <si>
    <t>数量（樘）</t>
  </si>
  <si>
    <r>
      <t>面积（m</t>
    </r>
    <r>
      <rPr>
        <vertAlign val="superscript"/>
        <sz val="10"/>
        <rFont val="宋体"/>
        <family val="0"/>
      </rPr>
      <t>2</t>
    </r>
    <r>
      <rPr>
        <sz val="10"/>
        <rFont val="宋体"/>
        <family val="0"/>
      </rPr>
      <t>)</t>
    </r>
  </si>
  <si>
    <r>
      <t>除税综合单价
（元/m</t>
    </r>
    <r>
      <rPr>
        <vertAlign val="superscript"/>
        <sz val="10"/>
        <rFont val="宋体"/>
        <family val="0"/>
      </rPr>
      <t>2</t>
    </r>
    <r>
      <rPr>
        <sz val="10"/>
        <rFont val="宋体"/>
        <family val="0"/>
      </rPr>
      <t>）</t>
    </r>
  </si>
  <si>
    <r>
      <t>除税总价（元/m</t>
    </r>
    <r>
      <rPr>
        <vertAlign val="superscript"/>
        <sz val="10"/>
        <rFont val="宋体"/>
        <family val="0"/>
      </rPr>
      <t>2</t>
    </r>
    <r>
      <rPr>
        <sz val="10"/>
        <rFont val="宋体"/>
        <family val="0"/>
      </rPr>
      <t>）</t>
    </r>
  </si>
  <si>
    <r>
      <t>含税综合单价
（元/m</t>
    </r>
    <r>
      <rPr>
        <vertAlign val="superscript"/>
        <sz val="10"/>
        <rFont val="宋体"/>
        <family val="0"/>
      </rPr>
      <t>2</t>
    </r>
    <r>
      <rPr>
        <sz val="10"/>
        <rFont val="宋体"/>
        <family val="0"/>
      </rPr>
      <t>）</t>
    </r>
  </si>
  <si>
    <r>
      <t>含税总价（元/m</t>
    </r>
    <r>
      <rPr>
        <vertAlign val="superscript"/>
        <sz val="10"/>
        <rFont val="宋体"/>
        <family val="0"/>
      </rPr>
      <t>2</t>
    </r>
    <r>
      <rPr>
        <sz val="10"/>
        <rFont val="宋体"/>
        <family val="0"/>
      </rPr>
      <t>）</t>
    </r>
  </si>
  <si>
    <t>备注</t>
  </si>
  <si>
    <t>宽度</t>
  </si>
  <si>
    <t>高度</t>
  </si>
  <si>
    <t>一、</t>
  </si>
  <si>
    <t>门窗工程</t>
  </si>
  <si>
    <t>M1230</t>
  </si>
  <si>
    <t>平开门</t>
  </si>
  <si>
    <t>65系列断热</t>
  </si>
  <si>
    <t>6中透光LOW-E+12+6钢化</t>
  </si>
  <si>
    <t>M1522</t>
  </si>
  <si>
    <t>M1536</t>
  </si>
  <si>
    <t>M1636</t>
  </si>
  <si>
    <t>M1827</t>
  </si>
  <si>
    <t>M2027</t>
  </si>
  <si>
    <t>M3030</t>
  </si>
  <si>
    <t>M1024</t>
  </si>
  <si>
    <t>M0824</t>
  </si>
  <si>
    <t>MLC-1</t>
  </si>
  <si>
    <t>门联窗</t>
  </si>
  <si>
    <t>100系列断热地弹簧门</t>
  </si>
  <si>
    <t>MLC-2</t>
  </si>
  <si>
    <t>MLC-3</t>
  </si>
  <si>
    <t>MLC-4</t>
  </si>
  <si>
    <t>一层改</t>
  </si>
  <si>
    <t>一层改2</t>
  </si>
  <si>
    <t>C1122</t>
  </si>
  <si>
    <t>推拉窗</t>
  </si>
  <si>
    <t>100系列断热推拉窗</t>
  </si>
  <si>
    <t>C1127改</t>
  </si>
  <si>
    <t>90系列断热推拉窗</t>
  </si>
  <si>
    <t>C1128</t>
  </si>
  <si>
    <t>C1130</t>
  </si>
  <si>
    <t>C1321</t>
  </si>
  <si>
    <t>C1340</t>
  </si>
  <si>
    <t>C1421</t>
  </si>
  <si>
    <t>C1440</t>
  </si>
  <si>
    <t>C1515</t>
  </si>
  <si>
    <t>C1522</t>
  </si>
  <si>
    <t>C1527改</t>
  </si>
  <si>
    <t>C1528</t>
  </si>
  <si>
    <t>C1530</t>
  </si>
  <si>
    <t>C1621</t>
  </si>
  <si>
    <t>C1822</t>
  </si>
  <si>
    <t>C1827改</t>
  </si>
  <si>
    <t>C1828</t>
  </si>
  <si>
    <t>C2022</t>
  </si>
  <si>
    <t>C2027改</t>
  </si>
  <si>
    <t>C2027a改</t>
  </si>
  <si>
    <t>C2028</t>
  </si>
  <si>
    <t>C2222</t>
  </si>
  <si>
    <t>C2227</t>
  </si>
  <si>
    <t>C2228</t>
  </si>
  <si>
    <t>C2230</t>
  </si>
  <si>
    <t>C2321</t>
  </si>
  <si>
    <t>90系列断热固定窗</t>
  </si>
  <si>
    <t>C2330</t>
  </si>
  <si>
    <t>C2340</t>
  </si>
  <si>
    <t>C2621</t>
  </si>
  <si>
    <t>C2640</t>
  </si>
  <si>
    <t>C2821</t>
  </si>
  <si>
    <t>C2840</t>
  </si>
  <si>
    <t>C3021</t>
  </si>
  <si>
    <t>90系列断热推拉窗8樘+8樘固定窗</t>
  </si>
  <si>
    <t>C3022</t>
  </si>
  <si>
    <t>C3027改</t>
  </si>
  <si>
    <t>C3028</t>
  </si>
  <si>
    <t>C3030</t>
  </si>
  <si>
    <t>C3040</t>
  </si>
  <si>
    <t>C3121</t>
  </si>
  <si>
    <t>C3122</t>
  </si>
  <si>
    <t>C3127改</t>
  </si>
  <si>
    <t>C3128</t>
  </si>
  <si>
    <t>C3130</t>
  </si>
  <si>
    <t>C3140</t>
  </si>
  <si>
    <t>C3221</t>
  </si>
  <si>
    <t>C3222</t>
  </si>
  <si>
    <t>C3227改</t>
  </si>
  <si>
    <t>C3228</t>
  </si>
  <si>
    <t>C3230</t>
  </si>
  <si>
    <t>C3240</t>
  </si>
  <si>
    <t>C3421</t>
  </si>
  <si>
    <t>C3422</t>
  </si>
  <si>
    <t>C3722</t>
  </si>
  <si>
    <t>C3727改</t>
  </si>
  <si>
    <t>C3728</t>
  </si>
  <si>
    <t>C3730</t>
  </si>
  <si>
    <t>C3822</t>
  </si>
  <si>
    <t>C3828</t>
  </si>
  <si>
    <t>C5830</t>
  </si>
  <si>
    <t>C3921</t>
  </si>
  <si>
    <t>90系列断热推拉窗1樘+2樘固定窗</t>
  </si>
  <si>
    <t>C3940</t>
  </si>
  <si>
    <t>C4121</t>
  </si>
  <si>
    <t>C4140</t>
  </si>
  <si>
    <t>C4930</t>
  </si>
  <si>
    <t>C5022</t>
  </si>
  <si>
    <t>C5027改</t>
  </si>
  <si>
    <t>C6408</t>
  </si>
  <si>
    <t>C6421</t>
  </si>
  <si>
    <t>C-1</t>
  </si>
  <si>
    <t>上悬窗</t>
  </si>
  <si>
    <t>150系列断热幕墙上悬窗</t>
  </si>
  <si>
    <t>C2322a</t>
  </si>
  <si>
    <t>C2327a改</t>
  </si>
  <si>
    <t>C2328a</t>
  </si>
  <si>
    <t>C2330a</t>
  </si>
  <si>
    <t>C3121a</t>
  </si>
  <si>
    <t>C3140a</t>
  </si>
  <si>
    <t>C3222a</t>
  </si>
  <si>
    <t>C3227a改</t>
  </si>
  <si>
    <t>C3228a</t>
  </si>
  <si>
    <t>C3230a</t>
  </si>
  <si>
    <t>C2322b</t>
  </si>
  <si>
    <t>C2327b改</t>
  </si>
  <si>
    <t>C2328b</t>
  </si>
  <si>
    <t>C2330b</t>
  </si>
  <si>
    <t>C3222b</t>
  </si>
  <si>
    <t>C3227b改</t>
  </si>
  <si>
    <t>C3228b</t>
  </si>
  <si>
    <t>C3230b</t>
  </si>
  <si>
    <t>C2021</t>
  </si>
  <si>
    <t>C1621a</t>
  </si>
  <si>
    <t>GC2412</t>
  </si>
  <si>
    <t>6+12+6钢化</t>
  </si>
  <si>
    <t>固定窗</t>
  </si>
  <si>
    <t>90系列断热甲级防火固定窗</t>
  </si>
  <si>
    <t>C3430</t>
  </si>
  <si>
    <t>C2930</t>
  </si>
  <si>
    <t>C3428</t>
  </si>
  <si>
    <t>C2928</t>
  </si>
  <si>
    <t>C2922</t>
  </si>
  <si>
    <t>C3427改</t>
  </si>
  <si>
    <t>C2927改</t>
  </si>
  <si>
    <t>小计</t>
  </si>
  <si>
    <t>二、</t>
  </si>
  <si>
    <t>总包配合费（投标总价2%）</t>
  </si>
  <si>
    <t>三、</t>
  </si>
  <si>
    <t>设计费</t>
  </si>
  <si>
    <t>四、</t>
  </si>
  <si>
    <t>合计（一+二+三）</t>
  </si>
  <si>
    <r>
      <t>综合单价分析表</t>
    </r>
    <r>
      <rPr>
        <b/>
        <sz val="14"/>
        <color indexed="10"/>
        <rFont val="宋体"/>
        <family val="0"/>
      </rPr>
      <t>（以下为样表展示，投标单位需结合自身情况针对汇总表中窗型进行组价分析）</t>
    </r>
  </si>
  <si>
    <t>型号名称：M1230</t>
  </si>
  <si>
    <t>尺寸：</t>
  </si>
  <si>
    <t>面积：</t>
  </si>
  <si>
    <t>参考示例</t>
  </si>
  <si>
    <t>项目</t>
  </si>
  <si>
    <t>单位</t>
  </si>
  <si>
    <t>数量</t>
  </si>
  <si>
    <t>平方含量</t>
  </si>
  <si>
    <t>单价（元）</t>
  </si>
  <si>
    <t>小计
（元）</t>
  </si>
  <si>
    <t>平方价
（元/m2）</t>
  </si>
  <si>
    <t>品牌</t>
  </si>
  <si>
    <t>A</t>
  </si>
  <si>
    <t>材      料</t>
  </si>
  <si>
    <t>断桥隔热型材(粉末喷涂)</t>
  </si>
  <si>
    <t>kg</t>
  </si>
  <si>
    <t>对应窗型的用料，需附上对应品牌节点图及计算明细</t>
  </si>
  <si>
    <t>6钢化高透Low-E+12A+6钢化中空玻璃</t>
  </si>
  <si>
    <r>
      <rPr>
        <sz val="12"/>
        <rFont val="Times New Roman"/>
        <family val="1"/>
      </rPr>
      <t>m</t>
    </r>
    <r>
      <rPr>
        <vertAlign val="superscript"/>
        <sz val="12"/>
        <rFont val="Times New Roman"/>
        <family val="1"/>
      </rPr>
      <t>2</t>
    </r>
  </si>
  <si>
    <t>五金小计</t>
  </si>
  <si>
    <t>套</t>
  </si>
  <si>
    <t>需结合对应窗型细化配置五金</t>
  </si>
  <si>
    <t>门执手</t>
  </si>
  <si>
    <t>锁块</t>
  </si>
  <si>
    <t>活动锁点</t>
  </si>
  <si>
    <t>多点锁体</t>
  </si>
  <si>
    <t>门合页</t>
  </si>
  <si>
    <t>插销（天地销）</t>
  </si>
  <si>
    <t>主要材料小计</t>
  </si>
  <si>
    <t>中性硅酮耐候密封胶</t>
  </si>
  <si>
    <t>支</t>
  </si>
  <si>
    <t>玻璃密封胶</t>
  </si>
  <si>
    <t>三元乙丙胶条</t>
  </si>
  <si>
    <t>m</t>
  </si>
  <si>
    <t>发泡剂</t>
  </si>
  <si>
    <t>毛条</t>
  </si>
  <si>
    <t>其他材料（如自攻螺丝、保护膜、固定片、膨胀螺丝、固定连接件、固定钉、防雷连接件、预埋件、 防雷引出线、接地连接件、美纹贴纸等等）</t>
  </si>
  <si>
    <t>m2</t>
  </si>
  <si>
    <t>辅助材料小计</t>
  </si>
  <si>
    <t>材料合计</t>
  </si>
  <si>
    <t>B</t>
  </si>
  <si>
    <t>人工费</t>
  </si>
  <si>
    <t>加工制作费</t>
  </si>
  <si>
    <t>安装费</t>
  </si>
  <si>
    <t>C</t>
  </si>
  <si>
    <t>机械费</t>
  </si>
  <si>
    <t>D</t>
  </si>
  <si>
    <t>措施费</t>
  </si>
  <si>
    <t>（A+B+C）*费率</t>
  </si>
  <si>
    <t>E</t>
  </si>
  <si>
    <t xml:space="preserve">管理费、利润
</t>
  </si>
  <si>
    <t>（B+C）*费率</t>
  </si>
  <si>
    <t>F</t>
  </si>
  <si>
    <t>除税价</t>
  </si>
  <si>
    <t>(A+B+C+D+E)</t>
  </si>
  <si>
    <t>G</t>
  </si>
  <si>
    <t>税一</t>
  </si>
  <si>
    <t>（五）*费率*比例</t>
  </si>
  <si>
    <t>具体结合自身税率情况填写</t>
  </si>
  <si>
    <t>税二</t>
  </si>
  <si>
    <t>H</t>
  </si>
  <si>
    <t>每平米单价(F+G)</t>
  </si>
  <si>
    <t>说明：1.本表中的除(含）税综合单价应与《分部分项清单报价表》的综合单价保持一致;</t>
  </si>
  <si>
    <t>2.请投标单位按照工程量清单计价表分规格列表；;</t>
  </si>
  <si>
    <t>3.表中材料、人工、机械的用量及相关费用均为每樘门窗的用量及费用，反映的是每樘门窗综合单价的组成；每平方的综合单价与清单报价表中的单价需一致；</t>
  </si>
  <si>
    <t>4.表中辅助材料是指完成此项工作除相关主材以外的其他所有材料包括但不仅限于：密封胶、胶条、毛条、发泡剂、泡沫条、自攻螺丝、保护膜、固定片、膨胀螺丝、固定连接件、固定钉、防雷连接件、预埋件、 防雷引出线、接地连接件、美纹贴纸等等</t>
  </si>
  <si>
    <t>5.若相应门窗中的型材品种规格不同，则在型材中分开计量，依次列明并汇总填报；同样玻璃厚度、钢化以及Low-E不同，则在玻璃材料中分开报价，依次列明；</t>
  </si>
  <si>
    <t>6.单价分析表参照样式填写， 价格组成明细可以增加在其他类中，但需在备注说明中描述清楚增加内容及计价过程。</t>
  </si>
  <si>
    <t>7.门窗等五金包括但不限于以上表中所列五金件，请投标人综合考虑每种类型的数量及费用。</t>
  </si>
  <si>
    <t>投标人：（盖章）</t>
  </si>
  <si>
    <t>法定代表人：（签字或盖章）</t>
  </si>
  <si>
    <t>日期：</t>
  </si>
  <si>
    <t>主要材料清单一览表</t>
  </si>
  <si>
    <t>材料名称</t>
  </si>
  <si>
    <t>材料规格型号</t>
  </si>
  <si>
    <t>产地、品牌</t>
  </si>
  <si>
    <t>除税单价 (元)</t>
  </si>
  <si>
    <t>断桥隔热型材（粉末喷涂）</t>
  </si>
  <si>
    <t>KG</t>
  </si>
  <si>
    <t>铝型材（粉末喷涂）</t>
  </si>
  <si>
    <t>手摇开窗器</t>
  </si>
  <si>
    <t>泡沫条</t>
  </si>
  <si>
    <r>
      <t>注：投标人根据实际情况可自行补充、并注明相应品牌、型号。</t>
    </r>
    <r>
      <rPr>
        <sz val="11"/>
        <color indexed="10"/>
        <rFont val="宋体"/>
        <family val="0"/>
      </rPr>
      <t>（注意关联前面公式）</t>
    </r>
  </si>
  <si>
    <t>单玻推拉窗</t>
  </si>
  <si>
    <t>80系列推拉窗1.8mm</t>
  </si>
  <si>
    <t>洞口尺寸</t>
  </si>
  <si>
    <t>附框尺寸</t>
  </si>
  <si>
    <t>制作尺寸</t>
  </si>
  <si>
    <t>1、</t>
  </si>
  <si>
    <t>铝合金材料</t>
  </si>
  <si>
    <t>名称</t>
  </si>
  <si>
    <t>长度</t>
  </si>
  <si>
    <t>米重</t>
  </si>
  <si>
    <t>重量</t>
  </si>
  <si>
    <t>边框</t>
  </si>
  <si>
    <t>平上滑</t>
  </si>
  <si>
    <t>固上滑</t>
  </si>
  <si>
    <t>平下滑</t>
  </si>
  <si>
    <t>固下滑</t>
  </si>
  <si>
    <t>固定框</t>
  </si>
  <si>
    <t>中柱</t>
  </si>
  <si>
    <t>盖板</t>
  </si>
  <si>
    <t>拼管</t>
  </si>
  <si>
    <t>内扇尺寸</t>
  </si>
  <si>
    <t>光企</t>
  </si>
  <si>
    <t>勾企</t>
  </si>
  <si>
    <t>上方</t>
  </si>
  <si>
    <t>下方</t>
  </si>
  <si>
    <t>大下方</t>
  </si>
  <si>
    <t>压条</t>
  </si>
  <si>
    <t>百叶框</t>
  </si>
  <si>
    <t>百叶片</t>
  </si>
  <si>
    <t>合计</t>
  </si>
  <si>
    <t>每平方用料</t>
  </si>
  <si>
    <t>窗扇玻璃</t>
  </si>
  <si>
    <t>面积</t>
  </si>
  <si>
    <t>窗配件</t>
  </si>
  <si>
    <t>单价</t>
  </si>
  <si>
    <t>锁</t>
  </si>
  <si>
    <t>滑轮</t>
  </si>
  <si>
    <t>每平方用</t>
  </si>
  <si>
    <t>单价组成</t>
  </si>
  <si>
    <t>金额</t>
  </si>
  <si>
    <t>5MM玻璃</t>
  </si>
  <si>
    <t>附框</t>
  </si>
  <si>
    <t>附框人工</t>
  </si>
  <si>
    <t>制作人工</t>
  </si>
  <si>
    <t>安装人工</t>
  </si>
  <si>
    <t>辅材</t>
  </si>
  <si>
    <t>成本</t>
  </si>
  <si>
    <t>报价</t>
  </si>
  <si>
    <t>*1.20</t>
  </si>
  <si>
    <t>鑫宏HT71断桥2.2mm</t>
  </si>
  <si>
    <t>11#\19#平开窗</t>
  </si>
  <si>
    <t>塑钢材料</t>
  </si>
  <si>
    <t>平开框</t>
  </si>
  <si>
    <t>中梃</t>
  </si>
  <si>
    <t>框角码</t>
  </si>
  <si>
    <t>转换框</t>
  </si>
  <si>
    <t>扇</t>
  </si>
  <si>
    <t>扇角码</t>
  </si>
  <si>
    <t>扇压条</t>
  </si>
  <si>
    <t>固定压条</t>
  </si>
  <si>
    <t>执手</t>
  </si>
  <si>
    <t>滑撑</t>
  </si>
  <si>
    <r>
      <t>铝合金</t>
    </r>
    <r>
      <rPr>
        <sz val="12"/>
        <rFont val="宋体"/>
        <family val="0"/>
      </rPr>
      <t>材料</t>
    </r>
  </si>
  <si>
    <t>LOW-E中空玻璃（6+12氩气+6）</t>
  </si>
  <si>
    <t>*1.19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</si>
</sst>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_ "/>
    <numFmt numFmtId="182" formatCode="&quot;&quot;0&quot;  *&quot;"/>
    <numFmt numFmtId="183" formatCode="0.00_);[Red]\(0.00\)"/>
    <numFmt numFmtId="184" formatCode="&quot;&quot;0.00&quot; m2&quot;"/>
  </numFmts>
  <fonts count="71">
    <font>
      <sz val="12"/>
      <name val="宋体"/>
      <family val="0"/>
    </font>
    <font>
      <sz val="11"/>
      <name val="宋体"/>
      <family val="0"/>
    </font>
    <font>
      <b/>
      <sz val="12"/>
      <name val="宋体"/>
      <family val="0"/>
    </font>
    <font>
      <sz val="10"/>
      <name val="宋体"/>
      <family val="0"/>
    </font>
    <font>
      <b/>
      <sz val="10"/>
      <name val="宋体"/>
      <family val="0"/>
    </font>
    <font>
      <sz val="12"/>
      <color indexed="10"/>
      <name val="宋体"/>
      <family val="0"/>
    </font>
    <font>
      <sz val="12"/>
      <color indexed="48"/>
      <name val="宋体"/>
      <family val="0"/>
    </font>
    <font>
      <sz val="12"/>
      <color indexed="8"/>
      <name val="宋体"/>
      <family val="0"/>
    </font>
    <font>
      <sz val="8"/>
      <name val="宋体"/>
      <family val="0"/>
    </font>
    <font>
      <sz val="10"/>
      <color indexed="10"/>
      <name val="宋体"/>
      <family val="0"/>
    </font>
    <font>
      <sz val="10"/>
      <color indexed="48"/>
      <name val="宋体"/>
      <family val="0"/>
    </font>
    <font>
      <sz val="10"/>
      <color indexed="8"/>
      <name val="宋体"/>
      <family val="0"/>
    </font>
    <font>
      <b/>
      <sz val="14"/>
      <color indexed="8"/>
      <name val="宋体"/>
      <family val="0"/>
    </font>
    <font>
      <b/>
      <sz val="10"/>
      <color indexed="8"/>
      <name val="宋体"/>
      <family val="0"/>
    </font>
    <font>
      <sz val="11"/>
      <name val="等线"/>
      <family val="0"/>
    </font>
    <font>
      <b/>
      <sz val="14"/>
      <name val="宋体"/>
      <family val="0"/>
    </font>
    <font>
      <b/>
      <sz val="12"/>
      <name val="Times New Roman"/>
      <family val="1"/>
    </font>
    <font>
      <b/>
      <sz val="11"/>
      <name val="宋体"/>
      <family val="0"/>
    </font>
    <font>
      <sz val="12"/>
      <name val="Times New Roman"/>
      <family val="1"/>
    </font>
    <font>
      <sz val="11"/>
      <color indexed="10"/>
      <name val="宋体"/>
      <family val="0"/>
    </font>
    <font>
      <b/>
      <sz val="18"/>
      <color indexed="10"/>
      <name val="宋体"/>
      <family val="0"/>
    </font>
    <font>
      <u val="single"/>
      <sz val="12"/>
      <color indexed="12"/>
      <name val="宋体"/>
      <family val="0"/>
    </font>
    <font>
      <u val="single"/>
      <sz val="12"/>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4"/>
      <color indexed="10"/>
      <name val="宋体"/>
      <family val="0"/>
    </font>
    <font>
      <vertAlign val="superscript"/>
      <sz val="12"/>
      <name val="Times New Roman"/>
      <family val="1"/>
    </font>
    <font>
      <vertAlign val="superscript"/>
      <sz val="10"/>
      <name val="宋体"/>
      <family val="0"/>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2"/>
      <color theme="3" tint="0.39998000860214233"/>
      <name val="宋体"/>
      <family val="0"/>
    </font>
    <font>
      <sz val="12"/>
      <color theme="1"/>
      <name val="宋体"/>
      <family val="0"/>
    </font>
    <font>
      <sz val="8"/>
      <name val="Calibri"/>
      <family val="0"/>
    </font>
    <font>
      <sz val="10"/>
      <color rgb="FFFF0000"/>
      <name val="宋体"/>
      <family val="0"/>
    </font>
    <font>
      <sz val="10"/>
      <color theme="3" tint="0.39998000860214233"/>
      <name val="宋体"/>
      <family val="0"/>
    </font>
    <font>
      <sz val="10"/>
      <color theme="1"/>
      <name val="宋体"/>
      <family val="0"/>
    </font>
    <font>
      <sz val="11"/>
      <color rgb="FFFF0000"/>
      <name val="宋体"/>
      <family val="0"/>
    </font>
    <font>
      <b/>
      <sz val="18"/>
      <color rgb="FFFF0000"/>
      <name val="宋体"/>
      <family val="0"/>
    </font>
    <font>
      <sz val="10"/>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theme="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5" applyNumberFormat="0" applyAlignment="0" applyProtection="0"/>
    <xf numFmtId="0" fontId="51" fillId="4" borderId="6" applyNumberFormat="0" applyAlignment="0" applyProtection="0"/>
    <xf numFmtId="0" fontId="52" fillId="4" borderId="5" applyNumberFormat="0" applyAlignment="0" applyProtection="0"/>
    <xf numFmtId="0" fontId="53" fillId="5"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7" fillId="0" borderId="0">
      <alignment vertical="center"/>
      <protection/>
    </xf>
  </cellStyleXfs>
  <cellXfs count="143">
    <xf numFmtId="0" fontId="0" fillId="0" borderId="0" xfId="0" applyAlignment="1">
      <alignment vertical="center"/>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80" fontId="3" fillId="0" borderId="0" xfId="0" applyNumberFormat="1" applyFont="1" applyAlignment="1">
      <alignment horizontal="center" vertical="center"/>
    </xf>
    <xf numFmtId="0" fontId="4" fillId="0" borderId="0" xfId="0" applyFont="1" applyAlignment="1">
      <alignment horizontal="center" vertical="center"/>
    </xf>
    <xf numFmtId="180" fontId="4" fillId="0" borderId="0" xfId="0" applyNumberFormat="1" applyFont="1" applyAlignment="1">
      <alignment horizontal="center" vertical="center"/>
    </xf>
    <xf numFmtId="0" fontId="3" fillId="33" borderId="0" xfId="0" applyFont="1" applyFill="1" applyAlignment="1">
      <alignment horizontal="center" vertical="center"/>
    </xf>
    <xf numFmtId="0" fontId="0" fillId="34" borderId="0" xfId="0" applyFill="1" applyAlignment="1">
      <alignment horizontal="center" vertical="center"/>
    </xf>
    <xf numFmtId="0" fontId="2" fillId="34"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180" fontId="0" fillId="0" borderId="11" xfId="0" applyNumberFormat="1" applyBorder="1" applyAlignment="1">
      <alignment horizontal="center" vertical="center"/>
    </xf>
    <xf numFmtId="0" fontId="61" fillId="0" borderId="11" xfId="0" applyFont="1" applyBorder="1" applyAlignment="1">
      <alignment horizontal="center" vertical="center"/>
    </xf>
    <xf numFmtId="0" fontId="62" fillId="0" borderId="11" xfId="0" applyFont="1" applyBorder="1" applyAlignment="1">
      <alignment horizontal="center" vertical="center"/>
    </xf>
    <xf numFmtId="180" fontId="62" fillId="0" borderId="11" xfId="0" applyNumberFormat="1" applyFont="1" applyBorder="1" applyAlignment="1">
      <alignment horizontal="center" vertical="center"/>
    </xf>
    <xf numFmtId="180" fontId="63" fillId="35" borderId="11" xfId="0" applyNumberFormat="1" applyFont="1" applyFill="1" applyBorder="1" applyAlignment="1">
      <alignment horizontal="center" vertical="center"/>
    </xf>
    <xf numFmtId="0" fontId="0" fillId="34" borderId="0" xfId="0" applyFont="1" applyFill="1" applyAlignment="1">
      <alignment horizontal="center" vertical="center"/>
    </xf>
    <xf numFmtId="0" fontId="2" fillId="34" borderId="0" xfId="0" applyFont="1" applyFill="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35" borderId="11" xfId="0" applyFill="1" applyBorder="1" applyAlignment="1">
      <alignment horizontal="center" vertical="center"/>
    </xf>
    <xf numFmtId="180" fontId="0" fillId="35" borderId="11" xfId="0" applyNumberFormat="1" applyFill="1" applyBorder="1" applyAlignment="1">
      <alignment horizontal="center" vertical="center"/>
    </xf>
    <xf numFmtId="0" fontId="61" fillId="0" borderId="0" xfId="0" applyFont="1" applyAlignment="1">
      <alignment horizontal="center" vertical="center"/>
    </xf>
    <xf numFmtId="0" fontId="64" fillId="36" borderId="11" xfId="0" applyFont="1" applyFill="1" applyBorder="1" applyAlignment="1">
      <alignment horizontal="center" vertical="center" wrapText="1"/>
    </xf>
    <xf numFmtId="180" fontId="65" fillId="0" borderId="11" xfId="0" applyNumberFormat="1" applyFont="1" applyBorder="1" applyAlignment="1">
      <alignment horizontal="center" vertical="center"/>
    </xf>
    <xf numFmtId="0" fontId="3" fillId="0" borderId="11" xfId="0" applyFont="1" applyBorder="1" applyAlignment="1">
      <alignment horizontal="center" vertical="center"/>
    </xf>
    <xf numFmtId="180" fontId="3" fillId="0" borderId="11" xfId="0" applyNumberFormat="1" applyFont="1"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34" borderId="0" xfId="0" applyFont="1" applyFill="1" applyAlignment="1">
      <alignment horizontal="center" vertical="center"/>
    </xf>
    <xf numFmtId="0" fontId="4" fillId="34" borderId="10" xfId="0" applyFont="1" applyFill="1" applyBorder="1" applyAlignment="1">
      <alignment horizontal="center" vertical="center"/>
    </xf>
    <xf numFmtId="0" fontId="3" fillId="0" borderId="11" xfId="0" applyFont="1" applyBorder="1" applyAlignment="1">
      <alignment horizontal="center" vertical="center"/>
    </xf>
    <xf numFmtId="0" fontId="65" fillId="0" borderId="11" xfId="0" applyFont="1" applyBorder="1" applyAlignment="1">
      <alignment horizontal="center" vertical="center"/>
    </xf>
    <xf numFmtId="0" fontId="66" fillId="0" borderId="11" xfId="0" applyFont="1" applyBorder="1" applyAlignment="1">
      <alignment horizontal="center" vertical="center"/>
    </xf>
    <xf numFmtId="180" fontId="67" fillId="35" borderId="11" xfId="0" applyNumberFormat="1" applyFont="1" applyFill="1" applyBorder="1" applyAlignment="1">
      <alignment horizontal="center" vertical="center"/>
    </xf>
    <xf numFmtId="0" fontId="4" fillId="34" borderId="0" xfId="0" applyFont="1" applyFill="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35" borderId="11" xfId="0" applyFont="1" applyFill="1" applyBorder="1" applyAlignment="1">
      <alignment horizontal="center" vertical="center"/>
    </xf>
    <xf numFmtId="180" fontId="3" fillId="35" borderId="11" xfId="0" applyNumberFormat="1" applyFont="1" applyFill="1" applyBorder="1" applyAlignment="1">
      <alignment horizontal="center" vertical="center"/>
    </xf>
    <xf numFmtId="0" fontId="65" fillId="0" borderId="0" xfId="0" applyFont="1" applyAlignment="1">
      <alignment horizontal="center" vertical="center"/>
    </xf>
    <xf numFmtId="0" fontId="65" fillId="0" borderId="11" xfId="0" applyFont="1" applyBorder="1" applyAlignment="1">
      <alignment horizontal="center" vertical="center"/>
    </xf>
    <xf numFmtId="181"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xf>
    <xf numFmtId="181" fontId="3" fillId="33" borderId="11" xfId="0" applyNumberFormat="1" applyFont="1" applyFill="1" applyBorder="1" applyAlignment="1">
      <alignment horizontal="center" vertical="center"/>
    </xf>
    <xf numFmtId="180" fontId="3" fillId="33" borderId="11"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67" applyFont="1" applyFill="1" applyBorder="1" applyAlignment="1" applyProtection="1">
      <alignment horizontal="center" vertical="center" wrapText="1"/>
      <protection locked="0"/>
    </xf>
    <xf numFmtId="0" fontId="1" fillId="0" borderId="0" xfId="0" applyFont="1" applyFill="1" applyAlignment="1">
      <alignment horizontal="left" vertical="center"/>
    </xf>
    <xf numFmtId="0" fontId="1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80" fontId="1"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5" fillId="0" borderId="0" xfId="0" applyFont="1" applyFill="1" applyBorder="1" applyAlignment="1">
      <alignment horizontal="center" vertical="center"/>
    </xf>
    <xf numFmtId="0" fontId="1" fillId="0" borderId="0" xfId="68" applyFont="1" applyFill="1" applyAlignment="1">
      <alignment horizontal="left" vertical="center"/>
      <protection/>
    </xf>
    <xf numFmtId="0" fontId="1" fillId="0" borderId="0" xfId="68" applyFont="1" applyFill="1" applyBorder="1" applyAlignment="1">
      <alignment horizontal="center" vertical="center"/>
      <protection/>
    </xf>
    <xf numFmtId="182" fontId="1" fillId="0" borderId="0" xfId="66" applyNumberFormat="1" applyFont="1" applyFill="1" applyBorder="1" applyAlignment="1">
      <alignment horizontal="center" vertical="center"/>
      <protection/>
    </xf>
    <xf numFmtId="181" fontId="1" fillId="0" borderId="0" xfId="66" applyNumberFormat="1" applyFont="1" applyFill="1" applyBorder="1" applyAlignment="1">
      <alignment horizontal="center" vertical="center"/>
      <protection/>
    </xf>
    <xf numFmtId="0" fontId="1" fillId="0" borderId="11" xfId="66" applyFont="1" applyFill="1" applyBorder="1" applyAlignment="1">
      <alignment horizontal="center" vertical="center" wrapText="1"/>
      <protection/>
    </xf>
    <xf numFmtId="183" fontId="1" fillId="0" borderId="11" xfId="66" applyNumberFormat="1" applyFont="1" applyFill="1" applyBorder="1" applyAlignment="1">
      <alignment horizontal="center" vertical="center" wrapText="1"/>
      <protection/>
    </xf>
    <xf numFmtId="180" fontId="1" fillId="0" borderId="11" xfId="66" applyNumberFormat="1" applyFont="1" applyFill="1" applyBorder="1" applyAlignment="1">
      <alignment horizontal="center" vertical="center" wrapText="1"/>
      <protection/>
    </xf>
    <xf numFmtId="0" fontId="16" fillId="0" borderId="11" xfId="66" applyFont="1" applyFill="1" applyBorder="1" applyAlignment="1">
      <alignment horizontal="center" vertical="center" wrapText="1"/>
      <protection/>
    </xf>
    <xf numFmtId="0" fontId="17" fillId="0" borderId="11" xfId="66" applyFont="1" applyFill="1" applyBorder="1" applyAlignment="1">
      <alignment horizontal="center" vertical="center"/>
      <protection/>
    </xf>
    <xf numFmtId="0" fontId="18" fillId="0" borderId="11" xfId="66" applyFont="1" applyFill="1" applyBorder="1" applyAlignment="1">
      <alignment horizontal="center" vertical="center"/>
      <protection/>
    </xf>
    <xf numFmtId="183" fontId="1" fillId="0" borderId="11" xfId="66" applyNumberFormat="1" applyFont="1" applyFill="1" applyBorder="1" applyAlignment="1">
      <alignment horizontal="center" vertical="center"/>
      <protection/>
    </xf>
    <xf numFmtId="180" fontId="1" fillId="0" borderId="11" xfId="66" applyNumberFormat="1" applyFont="1" applyFill="1" applyBorder="1" applyAlignment="1">
      <alignment horizontal="center" vertical="center"/>
      <protection/>
    </xf>
    <xf numFmtId="0" fontId="17" fillId="0" borderId="11" xfId="66" applyFont="1" applyFill="1" applyBorder="1" applyAlignment="1">
      <alignment horizontal="center" vertical="center" wrapText="1"/>
      <protection/>
    </xf>
    <xf numFmtId="0" fontId="1" fillId="0" borderId="11" xfId="66" applyFont="1" applyFill="1" applyBorder="1" applyAlignment="1">
      <alignment horizontal="center" vertical="center"/>
      <protection/>
    </xf>
    <xf numFmtId="180" fontId="68" fillId="0" borderId="11" xfId="0" applyNumberFormat="1" applyFont="1" applyFill="1" applyBorder="1" applyAlignment="1">
      <alignment horizontal="center" vertical="center"/>
    </xf>
    <xf numFmtId="180" fontId="68" fillId="0" borderId="11" xfId="0" applyNumberFormat="1" applyFont="1" applyFill="1" applyBorder="1" applyAlignment="1">
      <alignment horizontal="center" vertical="center"/>
    </xf>
    <xf numFmtId="180" fontId="17" fillId="0" borderId="11" xfId="66" applyNumberFormat="1" applyFont="1" applyFill="1" applyBorder="1" applyAlignment="1">
      <alignment horizontal="center" vertical="center"/>
      <protection/>
    </xf>
    <xf numFmtId="0" fontId="3" fillId="0" borderId="11" xfId="67" applyFont="1" applyFill="1" applyBorder="1" applyAlignment="1">
      <alignment horizontal="center" vertical="center"/>
      <protection/>
    </xf>
    <xf numFmtId="180" fontId="17" fillId="0" borderId="11" xfId="66" applyNumberFormat="1" applyFont="1" applyFill="1" applyBorder="1" applyAlignment="1">
      <alignment horizontal="center" vertical="center"/>
      <protection/>
    </xf>
    <xf numFmtId="10" fontId="1" fillId="0" borderId="11" xfId="66" applyNumberFormat="1" applyFont="1" applyFill="1" applyBorder="1" applyAlignment="1">
      <alignment horizontal="center" vertical="center"/>
      <protection/>
    </xf>
    <xf numFmtId="9" fontId="18" fillId="0" borderId="11" xfId="66" applyNumberFormat="1" applyFont="1" applyFill="1" applyBorder="1" applyAlignment="1">
      <alignment horizontal="center" vertical="center"/>
      <protection/>
    </xf>
    <xf numFmtId="180" fontId="18" fillId="0" borderId="11" xfId="66" applyNumberFormat="1" applyFont="1" applyFill="1" applyBorder="1" applyAlignment="1">
      <alignment horizontal="center" vertical="center"/>
      <protection/>
    </xf>
    <xf numFmtId="9" fontId="1" fillId="0" borderId="11" xfId="66" applyNumberFormat="1" applyFont="1" applyFill="1" applyBorder="1" applyAlignment="1">
      <alignment horizontal="center" vertical="center"/>
      <protection/>
    </xf>
    <xf numFmtId="180" fontId="18" fillId="0" borderId="11" xfId="66" applyNumberFormat="1" applyFont="1" applyFill="1" applyBorder="1" applyAlignment="1">
      <alignment horizontal="center" vertical="center"/>
      <protection/>
    </xf>
    <xf numFmtId="0" fontId="11" fillId="0" borderId="0" xfId="0" applyFont="1" applyFill="1" applyBorder="1" applyAlignment="1">
      <alignment horizontal="left" vertical="center" wrapText="1"/>
    </xf>
    <xf numFmtId="180"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180"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xf>
    <xf numFmtId="0" fontId="1" fillId="0" borderId="0" xfId="66" applyFont="1" applyFill="1" applyBorder="1" applyAlignment="1">
      <alignment horizontal="right" vertical="center"/>
      <protection/>
    </xf>
    <xf numFmtId="184" fontId="1" fillId="0" borderId="0" xfId="66" applyNumberFormat="1" applyFont="1" applyFill="1" applyBorder="1" applyAlignment="1">
      <alignment vertical="center"/>
      <protection/>
    </xf>
    <xf numFmtId="0" fontId="0" fillId="0" borderId="11" xfId="0" applyFont="1" applyFill="1" applyBorder="1" applyAlignment="1">
      <alignment vertical="center"/>
    </xf>
    <xf numFmtId="0" fontId="65" fillId="0" borderId="17"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18"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1" fillId="0" borderId="18" xfId="0" applyFont="1" applyFill="1" applyBorder="1" applyAlignment="1">
      <alignment horizontal="center" vertical="center" wrapText="1"/>
    </xf>
    <xf numFmtId="180" fontId="1" fillId="0" borderId="11" xfId="66" applyNumberFormat="1" applyFont="1" applyFill="1" applyBorder="1" applyAlignment="1">
      <alignment horizontal="center" vertical="center"/>
      <protection/>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69" fillId="0" borderId="0" xfId="0" applyFont="1" applyFill="1" applyBorder="1" applyAlignment="1">
      <alignment vertical="center"/>
    </xf>
    <xf numFmtId="0" fontId="70" fillId="0" borderId="0" xfId="0" applyNumberFormat="1" applyFont="1" applyFill="1" applyBorder="1" applyAlignment="1">
      <alignment horizontal="center" vertical="center"/>
    </xf>
    <xf numFmtId="0" fontId="70" fillId="0" borderId="0" xfId="0" applyNumberFormat="1" applyFont="1" applyFill="1" applyBorder="1" applyAlignment="1">
      <alignment horizontal="center" vertical="center" wrapText="1"/>
    </xf>
    <xf numFmtId="180" fontId="70" fillId="0" borderId="0" xfId="0" applyNumberFormat="1" applyFont="1" applyFill="1" applyBorder="1" applyAlignment="1">
      <alignment horizontal="center" vertical="center"/>
    </xf>
    <xf numFmtId="180" fontId="70" fillId="0" borderId="0" xfId="0" applyNumberFormat="1" applyFont="1" applyFill="1" applyBorder="1" applyAlignment="1">
      <alignment horizontal="center" vertical="center"/>
    </xf>
    <xf numFmtId="0" fontId="70" fillId="0" borderId="0" xfId="0" applyNumberFormat="1" applyFont="1" applyFill="1" applyBorder="1" applyAlignment="1">
      <alignment horizontal="center" vertical="center"/>
    </xf>
    <xf numFmtId="0" fontId="70" fillId="0" borderId="0" xfId="0" applyNumberFormat="1" applyFont="1" applyFill="1" applyBorder="1" applyAlignment="1">
      <alignment horizontal="center" vertical="center" wrapText="1"/>
    </xf>
    <xf numFmtId="0" fontId="70" fillId="0" borderId="0" xfId="0" applyNumberFormat="1" applyFont="1" applyFill="1" applyBorder="1" applyAlignment="1">
      <alignment horizontal="center" vertical="center"/>
    </xf>
    <xf numFmtId="0" fontId="70" fillId="0" borderId="11" xfId="0" applyNumberFormat="1" applyFont="1" applyFill="1" applyBorder="1" applyAlignment="1">
      <alignment horizontal="center" vertical="center"/>
    </xf>
    <xf numFmtId="0" fontId="70" fillId="0" borderId="11"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xf>
    <xf numFmtId="0" fontId="70" fillId="0" borderId="11"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xf>
    <xf numFmtId="0" fontId="70" fillId="0" borderId="20" xfId="0" applyNumberFormat="1" applyFont="1" applyFill="1" applyBorder="1" applyAlignment="1">
      <alignment horizontal="center" vertical="center"/>
    </xf>
    <xf numFmtId="0" fontId="70" fillId="0" borderId="21" xfId="0" applyNumberFormat="1" applyFont="1" applyFill="1" applyBorder="1" applyAlignment="1">
      <alignment horizontal="center" vertical="center"/>
    </xf>
    <xf numFmtId="0" fontId="70" fillId="0" borderId="22"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xf>
    <xf numFmtId="0" fontId="70" fillId="0" borderId="11" xfId="0" applyNumberFormat="1" applyFont="1" applyFill="1" applyBorder="1" applyAlignment="1">
      <alignment horizontal="center" vertical="center" wrapText="1"/>
    </xf>
    <xf numFmtId="180" fontId="70" fillId="0" borderId="0" xfId="0" applyNumberFormat="1" applyFont="1" applyFill="1" applyBorder="1" applyAlignment="1">
      <alignment horizontal="center" vertical="center"/>
    </xf>
    <xf numFmtId="180" fontId="70" fillId="0" borderId="11" xfId="0" applyNumberFormat="1" applyFont="1" applyFill="1" applyBorder="1" applyAlignment="1">
      <alignment horizontal="center" vertical="center"/>
    </xf>
    <xf numFmtId="180" fontId="70" fillId="0" borderId="11" xfId="0" applyNumberFormat="1" applyFont="1" applyFill="1" applyBorder="1" applyAlignment="1">
      <alignment horizontal="center" vertical="center" wrapText="1"/>
    </xf>
    <xf numFmtId="180" fontId="70" fillId="0" borderId="11" xfId="0" applyNumberFormat="1" applyFont="1" applyFill="1" applyBorder="1" applyAlignment="1">
      <alignment horizontal="center" vertical="center"/>
    </xf>
    <xf numFmtId="180" fontId="70" fillId="0" borderId="11" xfId="0" applyNumberFormat="1" applyFont="1" applyFill="1" applyBorder="1" applyAlignment="1">
      <alignment horizontal="center" vertical="center" wrapText="1"/>
    </xf>
    <xf numFmtId="180" fontId="70" fillId="0" borderId="11" xfId="0" applyNumberFormat="1" applyFont="1" applyFill="1" applyBorder="1" applyAlignment="1">
      <alignment horizontal="center" vertical="center"/>
    </xf>
    <xf numFmtId="0" fontId="70" fillId="0" borderId="11" xfId="0" applyNumberFormat="1"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4" xfId="63"/>
    <cellStyle name="常规 2 2 3" xfId="64"/>
    <cellStyle name="常规 5" xfId="65"/>
    <cellStyle name="常规 3" xfId="66"/>
    <cellStyle name="常规 2" xfId="67"/>
    <cellStyle name="常规 2 2" xfId="68"/>
    <cellStyle name="常规 8 2" xfId="69"/>
    <cellStyle name="常规 7" xfId="70"/>
    <cellStyle name="常规 1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1</xdr:row>
      <xdr:rowOff>295275</xdr:rowOff>
    </xdr:from>
    <xdr:to>
      <xdr:col>27</xdr:col>
      <xdr:colOff>552450</xdr:colOff>
      <xdr:row>16</xdr:row>
      <xdr:rowOff>47625</xdr:rowOff>
    </xdr:to>
    <xdr:pic>
      <xdr:nvPicPr>
        <xdr:cNvPr id="1" name="Picture 1"/>
        <xdr:cNvPicPr preferRelativeResize="1">
          <a:picLocks noChangeAspect="1"/>
        </xdr:cNvPicPr>
      </xdr:nvPicPr>
      <xdr:blipFill>
        <a:blip r:embed="rId1"/>
        <a:stretch>
          <a:fillRect/>
        </a:stretch>
      </xdr:blipFill>
      <xdr:spPr>
        <a:xfrm>
          <a:off x="10001250" y="638175"/>
          <a:ext cx="9096375" cy="361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428625</xdr:colOff>
      <xdr:row>6</xdr:row>
      <xdr:rowOff>161925</xdr:rowOff>
    </xdr:from>
    <xdr:to>
      <xdr:col>47</xdr:col>
      <xdr:colOff>171450</xdr:colOff>
      <xdr:row>18</xdr:row>
      <xdr:rowOff>133350</xdr:rowOff>
    </xdr:to>
    <xdr:pic>
      <xdr:nvPicPr>
        <xdr:cNvPr id="1" name="Picture 3"/>
        <xdr:cNvPicPr preferRelativeResize="1">
          <a:picLocks noChangeAspect="1"/>
        </xdr:cNvPicPr>
      </xdr:nvPicPr>
      <xdr:blipFill>
        <a:blip r:embed="rId1"/>
        <a:stretch>
          <a:fillRect/>
        </a:stretch>
      </xdr:blipFill>
      <xdr:spPr>
        <a:xfrm>
          <a:off x="29975175" y="1247775"/>
          <a:ext cx="3171825" cy="2143125"/>
        </a:xfrm>
        <a:prstGeom prst="rect">
          <a:avLst/>
        </a:prstGeom>
        <a:noFill/>
        <a:ln w="9525" cmpd="sng">
          <a:noFill/>
        </a:ln>
      </xdr:spPr>
    </xdr:pic>
    <xdr:clientData/>
  </xdr:twoCellAnchor>
  <xdr:twoCellAnchor editAs="oneCell">
    <xdr:from>
      <xdr:col>54</xdr:col>
      <xdr:colOff>9525</xdr:colOff>
      <xdr:row>6</xdr:row>
      <xdr:rowOff>9525</xdr:rowOff>
    </xdr:from>
    <xdr:to>
      <xdr:col>60</xdr:col>
      <xdr:colOff>552450</xdr:colOff>
      <xdr:row>23</xdr:row>
      <xdr:rowOff>66675</xdr:rowOff>
    </xdr:to>
    <xdr:pic>
      <xdr:nvPicPr>
        <xdr:cNvPr id="2" name="Picture 4"/>
        <xdr:cNvPicPr preferRelativeResize="1">
          <a:picLocks noChangeAspect="1"/>
        </xdr:cNvPicPr>
      </xdr:nvPicPr>
      <xdr:blipFill>
        <a:blip r:embed="rId2"/>
        <a:stretch>
          <a:fillRect/>
        </a:stretch>
      </xdr:blipFill>
      <xdr:spPr>
        <a:xfrm>
          <a:off x="37909500" y="1095375"/>
          <a:ext cx="4657725" cy="313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128"/>
  <sheetViews>
    <sheetView zoomScaleSheetLayoutView="100" workbookViewId="0" topLeftCell="A1">
      <pane ySplit="5" topLeftCell="A86" activePane="bottomLeft" state="frozen"/>
      <selection pane="bottomLeft" activeCell="I89" sqref="I89"/>
    </sheetView>
  </sheetViews>
  <sheetFormatPr defaultColWidth="9.00390625" defaultRowHeight="19.5" customHeight="1"/>
  <cols>
    <col min="1" max="1" width="4.50390625" style="119" customWidth="1"/>
    <col min="2" max="2" width="8.375" style="119" customWidth="1"/>
    <col min="3" max="3" width="6.125" style="119" customWidth="1"/>
    <col min="4" max="4" width="16.625" style="120" customWidth="1"/>
    <col min="5" max="5" width="19.25390625" style="119" customWidth="1"/>
    <col min="6" max="7" width="6.125" style="119" customWidth="1"/>
    <col min="8" max="8" width="4.625" style="119" customWidth="1"/>
    <col min="9" max="9" width="7.75390625" style="121" customWidth="1"/>
    <col min="10" max="10" width="8.00390625" style="122" customWidth="1"/>
    <col min="11" max="11" width="8.25390625" style="122" customWidth="1"/>
    <col min="12" max="12" width="8.625" style="122" customWidth="1"/>
    <col min="13" max="13" width="7.875" style="122" customWidth="1"/>
    <col min="14" max="14" width="8.125" style="120" customWidth="1"/>
    <col min="15" max="15" width="8.625" style="119" customWidth="1"/>
    <col min="16" max="16" width="9.00390625" style="119" customWidth="1"/>
    <col min="17" max="17" width="11.00390625" style="119" customWidth="1"/>
    <col min="18" max="16384" width="9.00390625" style="119" customWidth="1"/>
  </cols>
  <sheetData>
    <row r="1" spans="1:14" ht="19.5" customHeight="1">
      <c r="A1" s="123" t="s">
        <v>0</v>
      </c>
      <c r="B1" s="123"/>
      <c r="C1" s="123"/>
      <c r="D1" s="124"/>
      <c r="E1" s="123"/>
      <c r="F1" s="125"/>
      <c r="G1" s="125"/>
      <c r="H1" s="125"/>
      <c r="I1" s="136"/>
      <c r="J1" s="136"/>
      <c r="K1" s="136"/>
      <c r="L1" s="136"/>
      <c r="M1" s="136"/>
      <c r="N1" s="125"/>
    </row>
    <row r="2" spans="1:14" ht="19.5" customHeight="1">
      <c r="A2" s="126" t="s">
        <v>1</v>
      </c>
      <c r="B2" s="126" t="s">
        <v>2</v>
      </c>
      <c r="C2" s="126" t="s">
        <v>3</v>
      </c>
      <c r="D2" s="127" t="s">
        <v>4</v>
      </c>
      <c r="E2" s="126" t="s">
        <v>5</v>
      </c>
      <c r="F2" s="126" t="s">
        <v>6</v>
      </c>
      <c r="G2" s="128"/>
      <c r="H2" s="127" t="s">
        <v>7</v>
      </c>
      <c r="I2" s="137" t="s">
        <v>8</v>
      </c>
      <c r="J2" s="138" t="s">
        <v>9</v>
      </c>
      <c r="K2" s="138" t="s">
        <v>10</v>
      </c>
      <c r="L2" s="138" t="s">
        <v>11</v>
      </c>
      <c r="M2" s="138" t="s">
        <v>12</v>
      </c>
      <c r="N2" s="127" t="s">
        <v>13</v>
      </c>
    </row>
    <row r="3" spans="1:14" ht="21" customHeight="1">
      <c r="A3" s="128"/>
      <c r="B3" s="128"/>
      <c r="C3" s="128"/>
      <c r="D3" s="129"/>
      <c r="E3" s="128"/>
      <c r="F3" s="130" t="s">
        <v>14</v>
      </c>
      <c r="G3" s="130" t="s">
        <v>15</v>
      </c>
      <c r="H3" s="129"/>
      <c r="I3" s="139"/>
      <c r="J3" s="140"/>
      <c r="K3" s="140"/>
      <c r="L3" s="140"/>
      <c r="M3" s="140"/>
      <c r="N3" s="129"/>
    </row>
    <row r="4" spans="1:14" ht="21" customHeight="1">
      <c r="A4" s="126" t="s">
        <v>16</v>
      </c>
      <c r="B4" s="131" t="s">
        <v>17</v>
      </c>
      <c r="C4" s="132"/>
      <c r="D4" s="133"/>
      <c r="E4" s="128"/>
      <c r="F4" s="134"/>
      <c r="G4" s="134"/>
      <c r="H4" s="129"/>
      <c r="I4" s="139"/>
      <c r="J4" s="140"/>
      <c r="K4" s="140"/>
      <c r="L4" s="140"/>
      <c r="M4" s="140"/>
      <c r="N4" s="129"/>
    </row>
    <row r="5" spans="1:14" ht="19.5" customHeight="1">
      <c r="A5" s="128">
        <v>1</v>
      </c>
      <c r="B5" s="126" t="s">
        <v>18</v>
      </c>
      <c r="C5" s="126" t="s">
        <v>19</v>
      </c>
      <c r="D5" s="127" t="s">
        <v>20</v>
      </c>
      <c r="E5" s="127" t="s">
        <v>21</v>
      </c>
      <c r="F5" s="134">
        <v>1200</v>
      </c>
      <c r="G5" s="134">
        <v>3000</v>
      </c>
      <c r="H5" s="128">
        <v>2</v>
      </c>
      <c r="I5" s="141">
        <f>H5*G5*F5/1000000</f>
        <v>7.2</v>
      </c>
      <c r="J5" s="139"/>
      <c r="K5" s="139">
        <f aca="true" t="shared" si="0" ref="K5:K11">I5*J5</f>
        <v>0</v>
      </c>
      <c r="L5" s="139"/>
      <c r="M5" s="139">
        <f aca="true" t="shared" si="1" ref="M5:M11">I5*L5</f>
        <v>0</v>
      </c>
      <c r="N5" s="129"/>
    </row>
    <row r="6" spans="1:14" ht="19.5" customHeight="1">
      <c r="A6" s="134">
        <v>2</v>
      </c>
      <c r="B6" s="130" t="s">
        <v>22</v>
      </c>
      <c r="C6" s="126" t="s">
        <v>19</v>
      </c>
      <c r="D6" s="127" t="s">
        <v>20</v>
      </c>
      <c r="E6" s="127" t="s">
        <v>21</v>
      </c>
      <c r="F6" s="134">
        <v>1500</v>
      </c>
      <c r="G6" s="134">
        <v>2200</v>
      </c>
      <c r="H6" s="134">
        <v>3</v>
      </c>
      <c r="I6" s="141">
        <f>H6*G6*F6/1000000</f>
        <v>9.9</v>
      </c>
      <c r="J6" s="141"/>
      <c r="K6" s="139">
        <f t="shared" si="0"/>
        <v>0</v>
      </c>
      <c r="L6" s="141"/>
      <c r="M6" s="139">
        <f t="shared" si="1"/>
        <v>0</v>
      </c>
      <c r="N6" s="142"/>
    </row>
    <row r="7" spans="1:14" ht="19.5" customHeight="1">
      <c r="A7" s="128">
        <v>3</v>
      </c>
      <c r="B7" s="130" t="s">
        <v>23</v>
      </c>
      <c r="C7" s="126" t="s">
        <v>19</v>
      </c>
      <c r="D7" s="127" t="s">
        <v>20</v>
      </c>
      <c r="E7" s="127" t="s">
        <v>21</v>
      </c>
      <c r="F7" s="134">
        <v>1500</v>
      </c>
      <c r="G7" s="134">
        <v>3600</v>
      </c>
      <c r="H7" s="134">
        <v>1</v>
      </c>
      <c r="I7" s="141">
        <f>H7*G7*F7/1000000</f>
        <v>5.4</v>
      </c>
      <c r="J7" s="141"/>
      <c r="K7" s="139">
        <f t="shared" si="0"/>
        <v>0</v>
      </c>
      <c r="L7" s="141"/>
      <c r="M7" s="139">
        <f t="shared" si="1"/>
        <v>0</v>
      </c>
      <c r="N7" s="142"/>
    </row>
    <row r="8" spans="1:14" ht="19.5" customHeight="1">
      <c r="A8" s="128">
        <v>4</v>
      </c>
      <c r="B8" s="130" t="s">
        <v>24</v>
      </c>
      <c r="C8" s="126" t="s">
        <v>19</v>
      </c>
      <c r="D8" s="127" t="s">
        <v>20</v>
      </c>
      <c r="E8" s="127" t="s">
        <v>21</v>
      </c>
      <c r="F8" s="134">
        <v>1600</v>
      </c>
      <c r="G8" s="134">
        <v>3600</v>
      </c>
      <c r="H8" s="134">
        <v>1</v>
      </c>
      <c r="I8" s="141">
        <f aca="true" t="shared" si="2" ref="I8:I39">H8*G8*F8/1000000</f>
        <v>5.76</v>
      </c>
      <c r="J8" s="141"/>
      <c r="K8" s="139">
        <f t="shared" si="0"/>
        <v>0</v>
      </c>
      <c r="L8" s="141"/>
      <c r="M8" s="139">
        <f t="shared" si="1"/>
        <v>0</v>
      </c>
      <c r="N8" s="142"/>
    </row>
    <row r="9" spans="1:14" ht="19.5" customHeight="1">
      <c r="A9" s="134">
        <v>5</v>
      </c>
      <c r="B9" s="130" t="s">
        <v>25</v>
      </c>
      <c r="C9" s="126" t="s">
        <v>19</v>
      </c>
      <c r="D9" s="127" t="s">
        <v>20</v>
      </c>
      <c r="E9" s="127" t="s">
        <v>21</v>
      </c>
      <c r="F9" s="134">
        <v>1800</v>
      </c>
      <c r="G9" s="134">
        <v>2700</v>
      </c>
      <c r="H9" s="134">
        <v>1</v>
      </c>
      <c r="I9" s="141">
        <f t="shared" si="2"/>
        <v>4.86</v>
      </c>
      <c r="J9" s="141"/>
      <c r="K9" s="139">
        <f t="shared" si="0"/>
        <v>0</v>
      </c>
      <c r="L9" s="141"/>
      <c r="M9" s="139">
        <f t="shared" si="1"/>
        <v>0</v>
      </c>
      <c r="N9" s="142"/>
    </row>
    <row r="10" spans="1:14" ht="19.5" customHeight="1">
      <c r="A10" s="128">
        <v>6</v>
      </c>
      <c r="B10" s="130" t="s">
        <v>26</v>
      </c>
      <c r="C10" s="126" t="s">
        <v>19</v>
      </c>
      <c r="D10" s="127" t="s">
        <v>20</v>
      </c>
      <c r="E10" s="127" t="s">
        <v>21</v>
      </c>
      <c r="F10" s="134">
        <v>2000</v>
      </c>
      <c r="G10" s="134">
        <v>2700</v>
      </c>
      <c r="H10" s="134">
        <v>2</v>
      </c>
      <c r="I10" s="141">
        <f t="shared" si="2"/>
        <v>10.8</v>
      </c>
      <c r="J10" s="141"/>
      <c r="K10" s="139">
        <f t="shared" si="0"/>
        <v>0</v>
      </c>
      <c r="L10" s="141"/>
      <c r="M10" s="139">
        <f t="shared" si="1"/>
        <v>0</v>
      </c>
      <c r="N10" s="142"/>
    </row>
    <row r="11" spans="1:14" ht="19.5" customHeight="1">
      <c r="A11" s="128">
        <v>7</v>
      </c>
      <c r="B11" s="130" t="s">
        <v>27</v>
      </c>
      <c r="C11" s="126" t="s">
        <v>19</v>
      </c>
      <c r="D11" s="127" t="s">
        <v>20</v>
      </c>
      <c r="E11" s="127" t="s">
        <v>21</v>
      </c>
      <c r="F11" s="134">
        <v>3000</v>
      </c>
      <c r="G11" s="134">
        <v>3000</v>
      </c>
      <c r="H11" s="134">
        <f>4-2</f>
        <v>2</v>
      </c>
      <c r="I11" s="141">
        <f t="shared" si="2"/>
        <v>18</v>
      </c>
      <c r="J11" s="141"/>
      <c r="K11" s="139">
        <f t="shared" si="0"/>
        <v>0</v>
      </c>
      <c r="L11" s="141"/>
      <c r="M11" s="139">
        <f t="shared" si="1"/>
        <v>0</v>
      </c>
      <c r="N11" s="142"/>
    </row>
    <row r="12" spans="1:14" ht="19.5" customHeight="1">
      <c r="A12" s="134">
        <v>8</v>
      </c>
      <c r="B12" s="130" t="s">
        <v>28</v>
      </c>
      <c r="C12" s="126" t="s">
        <v>19</v>
      </c>
      <c r="D12" s="127" t="s">
        <v>20</v>
      </c>
      <c r="E12" s="127" t="s">
        <v>21</v>
      </c>
      <c r="F12" s="134">
        <v>1000</v>
      </c>
      <c r="G12" s="134">
        <v>2400</v>
      </c>
      <c r="H12" s="134">
        <v>22</v>
      </c>
      <c r="I12" s="141">
        <f t="shared" si="2"/>
        <v>52.8</v>
      </c>
      <c r="J12" s="141"/>
      <c r="K12" s="139">
        <f aca="true" t="shared" si="3" ref="K12:K43">I12*J12</f>
        <v>0</v>
      </c>
      <c r="L12" s="141"/>
      <c r="M12" s="139">
        <f aca="true" t="shared" si="4" ref="M12:M43">I12*L12</f>
        <v>0</v>
      </c>
      <c r="N12" s="142"/>
    </row>
    <row r="13" spans="1:14" ht="19.5" customHeight="1">
      <c r="A13" s="128">
        <v>9</v>
      </c>
      <c r="B13" s="130" t="s">
        <v>29</v>
      </c>
      <c r="C13" s="126" t="s">
        <v>19</v>
      </c>
      <c r="D13" s="127" t="s">
        <v>20</v>
      </c>
      <c r="E13" s="127" t="s">
        <v>21</v>
      </c>
      <c r="F13" s="134">
        <v>800</v>
      </c>
      <c r="G13" s="134">
        <v>2400</v>
      </c>
      <c r="H13" s="134">
        <v>10</v>
      </c>
      <c r="I13" s="141">
        <f t="shared" si="2"/>
        <v>19.2</v>
      </c>
      <c r="J13" s="141"/>
      <c r="K13" s="139">
        <f t="shared" si="3"/>
        <v>0</v>
      </c>
      <c r="L13" s="141"/>
      <c r="M13" s="139">
        <f t="shared" si="4"/>
        <v>0</v>
      </c>
      <c r="N13" s="142"/>
    </row>
    <row r="14" spans="1:14" ht="19.5" customHeight="1">
      <c r="A14" s="128">
        <v>10</v>
      </c>
      <c r="B14" s="130" t="s">
        <v>30</v>
      </c>
      <c r="C14" s="130" t="s">
        <v>31</v>
      </c>
      <c r="D14" s="135" t="s">
        <v>32</v>
      </c>
      <c r="E14" s="127" t="s">
        <v>21</v>
      </c>
      <c r="F14" s="134">
        <v>2800</v>
      </c>
      <c r="G14" s="134">
        <v>4200</v>
      </c>
      <c r="H14" s="134">
        <v>2</v>
      </c>
      <c r="I14" s="141">
        <f t="shared" si="2"/>
        <v>23.52</v>
      </c>
      <c r="J14" s="141"/>
      <c r="K14" s="139">
        <f t="shared" si="3"/>
        <v>0</v>
      </c>
      <c r="L14" s="141"/>
      <c r="M14" s="139">
        <f t="shared" si="4"/>
        <v>0</v>
      </c>
      <c r="N14" s="142"/>
    </row>
    <row r="15" spans="1:14" ht="19.5" customHeight="1">
      <c r="A15" s="134">
        <v>11</v>
      </c>
      <c r="B15" s="130" t="s">
        <v>33</v>
      </c>
      <c r="C15" s="130" t="s">
        <v>31</v>
      </c>
      <c r="D15" s="135" t="s">
        <v>32</v>
      </c>
      <c r="E15" s="127" t="s">
        <v>21</v>
      </c>
      <c r="F15" s="134">
        <v>5820</v>
      </c>
      <c r="G15" s="134">
        <v>4200</v>
      </c>
      <c r="H15" s="134">
        <v>1</v>
      </c>
      <c r="I15" s="141">
        <f t="shared" si="2"/>
        <v>24.444</v>
      </c>
      <c r="J15" s="141"/>
      <c r="K15" s="139">
        <f t="shared" si="3"/>
        <v>0</v>
      </c>
      <c r="L15" s="141"/>
      <c r="M15" s="139">
        <f t="shared" si="4"/>
        <v>0</v>
      </c>
      <c r="N15" s="142"/>
    </row>
    <row r="16" spans="1:14" ht="19.5" customHeight="1">
      <c r="A16" s="128">
        <v>12</v>
      </c>
      <c r="B16" s="130" t="s">
        <v>34</v>
      </c>
      <c r="C16" s="130" t="s">
        <v>31</v>
      </c>
      <c r="D16" s="135" t="s">
        <v>32</v>
      </c>
      <c r="E16" s="127" t="s">
        <v>21</v>
      </c>
      <c r="F16" s="134">
        <v>3800</v>
      </c>
      <c r="G16" s="134">
        <v>3800</v>
      </c>
      <c r="H16" s="134">
        <v>2</v>
      </c>
      <c r="I16" s="141">
        <f t="shared" si="2"/>
        <v>28.88</v>
      </c>
      <c r="J16" s="141"/>
      <c r="K16" s="139">
        <f t="shared" si="3"/>
        <v>0</v>
      </c>
      <c r="L16" s="141"/>
      <c r="M16" s="139">
        <f t="shared" si="4"/>
        <v>0</v>
      </c>
      <c r="N16" s="142"/>
    </row>
    <row r="17" spans="1:14" ht="19.5" customHeight="1">
      <c r="A17" s="128">
        <v>13</v>
      </c>
      <c r="B17" s="130" t="s">
        <v>35</v>
      </c>
      <c r="C17" s="130" t="s">
        <v>31</v>
      </c>
      <c r="D17" s="135" t="s">
        <v>32</v>
      </c>
      <c r="E17" s="127" t="s">
        <v>21</v>
      </c>
      <c r="F17" s="134">
        <v>8000</v>
      </c>
      <c r="G17" s="134">
        <v>3600</v>
      </c>
      <c r="H17" s="134">
        <v>1</v>
      </c>
      <c r="I17" s="141">
        <f t="shared" si="2"/>
        <v>28.8</v>
      </c>
      <c r="J17" s="141"/>
      <c r="K17" s="139">
        <f t="shared" si="3"/>
        <v>0</v>
      </c>
      <c r="L17" s="141"/>
      <c r="M17" s="139">
        <f t="shared" si="4"/>
        <v>0</v>
      </c>
      <c r="N17" s="142"/>
    </row>
    <row r="18" spans="1:14" ht="19.5" customHeight="1">
      <c r="A18" s="134">
        <v>14</v>
      </c>
      <c r="B18" s="130" t="s">
        <v>36</v>
      </c>
      <c r="C18" s="130" t="s">
        <v>31</v>
      </c>
      <c r="D18" s="135" t="s">
        <v>32</v>
      </c>
      <c r="E18" s="127" t="s">
        <v>21</v>
      </c>
      <c r="F18" s="134">
        <v>4400</v>
      </c>
      <c r="G18" s="134">
        <v>4200</v>
      </c>
      <c r="H18" s="134">
        <v>1</v>
      </c>
      <c r="I18" s="141">
        <f t="shared" si="2"/>
        <v>18.48</v>
      </c>
      <c r="J18" s="141"/>
      <c r="K18" s="139">
        <f t="shared" si="3"/>
        <v>0</v>
      </c>
      <c r="L18" s="141"/>
      <c r="M18" s="139">
        <f t="shared" si="4"/>
        <v>0</v>
      </c>
      <c r="N18" s="142"/>
    </row>
    <row r="19" spans="1:14" ht="19.5" customHeight="1">
      <c r="A19" s="128">
        <v>15</v>
      </c>
      <c r="B19" s="130" t="s">
        <v>37</v>
      </c>
      <c r="C19" s="130" t="s">
        <v>31</v>
      </c>
      <c r="D19" s="135" t="s">
        <v>32</v>
      </c>
      <c r="E19" s="127" t="s">
        <v>21</v>
      </c>
      <c r="F19" s="134">
        <v>2300</v>
      </c>
      <c r="G19" s="134">
        <v>4200</v>
      </c>
      <c r="H19" s="134">
        <v>1</v>
      </c>
      <c r="I19" s="141">
        <f t="shared" si="2"/>
        <v>9.66</v>
      </c>
      <c r="J19" s="141"/>
      <c r="K19" s="139">
        <f t="shared" si="3"/>
        <v>0</v>
      </c>
      <c r="L19" s="141"/>
      <c r="M19" s="139">
        <f t="shared" si="4"/>
        <v>0</v>
      </c>
      <c r="N19" s="142"/>
    </row>
    <row r="20" spans="1:14" ht="19.5" customHeight="1">
      <c r="A20" s="128">
        <v>16</v>
      </c>
      <c r="B20" s="130" t="s">
        <v>38</v>
      </c>
      <c r="C20" s="130" t="s">
        <v>39</v>
      </c>
      <c r="D20" s="135" t="s">
        <v>40</v>
      </c>
      <c r="E20" s="127" t="s">
        <v>21</v>
      </c>
      <c r="F20" s="134">
        <v>1100</v>
      </c>
      <c r="G20" s="134">
        <v>2200</v>
      </c>
      <c r="H20" s="134">
        <v>1</v>
      </c>
      <c r="I20" s="141">
        <f t="shared" si="2"/>
        <v>2.42</v>
      </c>
      <c r="J20" s="141"/>
      <c r="K20" s="139">
        <f t="shared" si="3"/>
        <v>0</v>
      </c>
      <c r="L20" s="141"/>
      <c r="M20" s="139">
        <f t="shared" si="4"/>
        <v>0</v>
      </c>
      <c r="N20" s="142"/>
    </row>
    <row r="21" spans="1:14" ht="19.5" customHeight="1">
      <c r="A21" s="134">
        <v>17</v>
      </c>
      <c r="B21" s="130" t="s">
        <v>41</v>
      </c>
      <c r="C21" s="130" t="s">
        <v>39</v>
      </c>
      <c r="D21" s="135" t="s">
        <v>42</v>
      </c>
      <c r="E21" s="127" t="s">
        <v>21</v>
      </c>
      <c r="F21" s="134">
        <v>1100</v>
      </c>
      <c r="G21" s="134">
        <v>2200</v>
      </c>
      <c r="H21" s="134">
        <v>1</v>
      </c>
      <c r="I21" s="141">
        <f t="shared" si="2"/>
        <v>2.42</v>
      </c>
      <c r="J21" s="141"/>
      <c r="K21" s="139">
        <f t="shared" si="3"/>
        <v>0</v>
      </c>
      <c r="L21" s="141"/>
      <c r="M21" s="139">
        <f t="shared" si="4"/>
        <v>0</v>
      </c>
      <c r="N21" s="142"/>
    </row>
    <row r="22" spans="1:14" ht="19.5" customHeight="1">
      <c r="A22" s="128">
        <v>18</v>
      </c>
      <c r="B22" s="130" t="s">
        <v>43</v>
      </c>
      <c r="C22" s="130" t="s">
        <v>39</v>
      </c>
      <c r="D22" s="135" t="s">
        <v>42</v>
      </c>
      <c r="E22" s="127" t="s">
        <v>21</v>
      </c>
      <c r="F22" s="134">
        <v>1100</v>
      </c>
      <c r="G22" s="134">
        <v>2800</v>
      </c>
      <c r="H22" s="134">
        <v>1</v>
      </c>
      <c r="I22" s="141">
        <f t="shared" si="2"/>
        <v>3.08</v>
      </c>
      <c r="J22" s="141"/>
      <c r="K22" s="139">
        <f t="shared" si="3"/>
        <v>0</v>
      </c>
      <c r="L22" s="141"/>
      <c r="M22" s="139">
        <f t="shared" si="4"/>
        <v>0</v>
      </c>
      <c r="N22" s="142"/>
    </row>
    <row r="23" spans="1:14" ht="19.5" customHeight="1">
      <c r="A23" s="128">
        <v>19</v>
      </c>
      <c r="B23" s="130" t="s">
        <v>44</v>
      </c>
      <c r="C23" s="130" t="s">
        <v>39</v>
      </c>
      <c r="D23" s="135" t="s">
        <v>42</v>
      </c>
      <c r="E23" s="127" t="s">
        <v>21</v>
      </c>
      <c r="F23" s="134">
        <v>1100</v>
      </c>
      <c r="G23" s="134">
        <v>3000</v>
      </c>
      <c r="H23" s="134">
        <v>1</v>
      </c>
      <c r="I23" s="141">
        <f t="shared" si="2"/>
        <v>3.3</v>
      </c>
      <c r="J23" s="141"/>
      <c r="K23" s="139">
        <f t="shared" si="3"/>
        <v>0</v>
      </c>
      <c r="L23" s="141"/>
      <c r="M23" s="139">
        <f t="shared" si="4"/>
        <v>0</v>
      </c>
      <c r="N23" s="142"/>
    </row>
    <row r="24" spans="1:14" ht="19.5" customHeight="1">
      <c r="A24" s="134">
        <v>20</v>
      </c>
      <c r="B24" s="130" t="s">
        <v>45</v>
      </c>
      <c r="C24" s="130" t="s">
        <v>39</v>
      </c>
      <c r="D24" s="135" t="s">
        <v>42</v>
      </c>
      <c r="E24" s="127" t="s">
        <v>21</v>
      </c>
      <c r="F24" s="134">
        <v>1300</v>
      </c>
      <c r="G24" s="134">
        <v>2100</v>
      </c>
      <c r="H24" s="134">
        <v>2</v>
      </c>
      <c r="I24" s="141">
        <f t="shared" si="2"/>
        <v>5.46</v>
      </c>
      <c r="J24" s="141"/>
      <c r="K24" s="139">
        <f t="shared" si="3"/>
        <v>0</v>
      </c>
      <c r="L24" s="141"/>
      <c r="M24" s="139">
        <f t="shared" si="4"/>
        <v>0</v>
      </c>
      <c r="N24" s="142"/>
    </row>
    <row r="25" spans="1:14" ht="19.5" customHeight="1">
      <c r="A25" s="128">
        <v>21</v>
      </c>
      <c r="B25" s="130" t="s">
        <v>46</v>
      </c>
      <c r="C25" s="130" t="s">
        <v>39</v>
      </c>
      <c r="D25" s="135" t="s">
        <v>42</v>
      </c>
      <c r="E25" s="127" t="s">
        <v>21</v>
      </c>
      <c r="F25" s="134">
        <v>1300</v>
      </c>
      <c r="G25" s="134">
        <v>4000</v>
      </c>
      <c r="H25" s="134">
        <v>1</v>
      </c>
      <c r="I25" s="141">
        <f t="shared" si="2"/>
        <v>5.2</v>
      </c>
      <c r="J25" s="141"/>
      <c r="K25" s="139">
        <f t="shared" si="3"/>
        <v>0</v>
      </c>
      <c r="L25" s="141"/>
      <c r="M25" s="139">
        <f t="shared" si="4"/>
        <v>0</v>
      </c>
      <c r="N25" s="142"/>
    </row>
    <row r="26" spans="1:14" ht="19.5" customHeight="1">
      <c r="A26" s="128">
        <v>22</v>
      </c>
      <c r="B26" s="130" t="s">
        <v>47</v>
      </c>
      <c r="C26" s="130" t="s">
        <v>39</v>
      </c>
      <c r="D26" s="135" t="s">
        <v>42</v>
      </c>
      <c r="E26" s="127" t="s">
        <v>21</v>
      </c>
      <c r="F26" s="134">
        <v>1400</v>
      </c>
      <c r="G26" s="134">
        <v>2100</v>
      </c>
      <c r="H26" s="134">
        <v>2</v>
      </c>
      <c r="I26" s="141">
        <f t="shared" si="2"/>
        <v>5.88</v>
      </c>
      <c r="J26" s="141"/>
      <c r="K26" s="139">
        <f t="shared" si="3"/>
        <v>0</v>
      </c>
      <c r="L26" s="141"/>
      <c r="M26" s="139">
        <f t="shared" si="4"/>
        <v>0</v>
      </c>
      <c r="N26" s="142"/>
    </row>
    <row r="27" spans="1:14" ht="19.5" customHeight="1">
      <c r="A27" s="134">
        <v>23</v>
      </c>
      <c r="B27" s="130" t="s">
        <v>48</v>
      </c>
      <c r="C27" s="130" t="s">
        <v>39</v>
      </c>
      <c r="D27" s="135" t="s">
        <v>42</v>
      </c>
      <c r="E27" s="127" t="s">
        <v>21</v>
      </c>
      <c r="F27" s="134">
        <v>1400</v>
      </c>
      <c r="G27" s="134">
        <v>4000</v>
      </c>
      <c r="H27" s="134">
        <v>1</v>
      </c>
      <c r="I27" s="141">
        <f t="shared" si="2"/>
        <v>5.6</v>
      </c>
      <c r="J27" s="141"/>
      <c r="K27" s="139">
        <f t="shared" si="3"/>
        <v>0</v>
      </c>
      <c r="L27" s="141"/>
      <c r="M27" s="139">
        <f t="shared" si="4"/>
        <v>0</v>
      </c>
      <c r="N27" s="142"/>
    </row>
    <row r="28" spans="1:14" ht="19.5" customHeight="1">
      <c r="A28" s="128">
        <v>24</v>
      </c>
      <c r="B28" s="130" t="s">
        <v>49</v>
      </c>
      <c r="C28" s="130" t="s">
        <v>39</v>
      </c>
      <c r="D28" s="135" t="s">
        <v>42</v>
      </c>
      <c r="E28" s="127" t="s">
        <v>21</v>
      </c>
      <c r="F28" s="134">
        <v>1500</v>
      </c>
      <c r="G28" s="134">
        <v>1500</v>
      </c>
      <c r="H28" s="134">
        <v>2</v>
      </c>
      <c r="I28" s="141">
        <f t="shared" si="2"/>
        <v>4.5</v>
      </c>
      <c r="J28" s="141"/>
      <c r="K28" s="139">
        <f t="shared" si="3"/>
        <v>0</v>
      </c>
      <c r="L28" s="141"/>
      <c r="M28" s="139">
        <f t="shared" si="4"/>
        <v>0</v>
      </c>
      <c r="N28" s="142"/>
    </row>
    <row r="29" spans="1:14" ht="19.5" customHeight="1">
      <c r="A29" s="128">
        <v>25</v>
      </c>
      <c r="B29" s="130" t="s">
        <v>50</v>
      </c>
      <c r="C29" s="130" t="s">
        <v>39</v>
      </c>
      <c r="D29" s="135" t="s">
        <v>42</v>
      </c>
      <c r="E29" s="127" t="s">
        <v>21</v>
      </c>
      <c r="F29" s="134">
        <v>1500</v>
      </c>
      <c r="G29" s="134">
        <v>2200</v>
      </c>
      <c r="H29" s="134">
        <v>1</v>
      </c>
      <c r="I29" s="141">
        <f t="shared" si="2"/>
        <v>3.3</v>
      </c>
      <c r="J29" s="141"/>
      <c r="K29" s="139">
        <f t="shared" si="3"/>
        <v>0</v>
      </c>
      <c r="L29" s="141"/>
      <c r="M29" s="139">
        <f t="shared" si="4"/>
        <v>0</v>
      </c>
      <c r="N29" s="142"/>
    </row>
    <row r="30" spans="1:14" ht="19.5" customHeight="1">
      <c r="A30" s="134">
        <v>26</v>
      </c>
      <c r="B30" s="130" t="s">
        <v>51</v>
      </c>
      <c r="C30" s="130" t="s">
        <v>39</v>
      </c>
      <c r="D30" s="135" t="s">
        <v>42</v>
      </c>
      <c r="E30" s="127" t="s">
        <v>21</v>
      </c>
      <c r="F30" s="134">
        <v>1500</v>
      </c>
      <c r="G30" s="134">
        <v>2200</v>
      </c>
      <c r="H30" s="134">
        <v>1</v>
      </c>
      <c r="I30" s="141">
        <f t="shared" si="2"/>
        <v>3.3</v>
      </c>
      <c r="J30" s="141"/>
      <c r="K30" s="139">
        <f t="shared" si="3"/>
        <v>0</v>
      </c>
      <c r="L30" s="141"/>
      <c r="M30" s="139">
        <f t="shared" si="4"/>
        <v>0</v>
      </c>
      <c r="N30" s="142"/>
    </row>
    <row r="31" spans="1:14" ht="19.5" customHeight="1">
      <c r="A31" s="128">
        <v>27</v>
      </c>
      <c r="B31" s="130" t="s">
        <v>52</v>
      </c>
      <c r="C31" s="130" t="s">
        <v>39</v>
      </c>
      <c r="D31" s="135" t="s">
        <v>42</v>
      </c>
      <c r="E31" s="127" t="s">
        <v>21</v>
      </c>
      <c r="F31" s="134">
        <v>1500</v>
      </c>
      <c r="G31" s="134">
        <v>2800</v>
      </c>
      <c r="H31" s="134">
        <v>1</v>
      </c>
      <c r="I31" s="141">
        <f t="shared" si="2"/>
        <v>4.2</v>
      </c>
      <c r="J31" s="141"/>
      <c r="K31" s="139">
        <f t="shared" si="3"/>
        <v>0</v>
      </c>
      <c r="L31" s="141"/>
      <c r="M31" s="139">
        <f t="shared" si="4"/>
        <v>0</v>
      </c>
      <c r="N31" s="142"/>
    </row>
    <row r="32" spans="1:14" ht="19.5" customHeight="1">
      <c r="A32" s="128">
        <v>28</v>
      </c>
      <c r="B32" s="130" t="s">
        <v>53</v>
      </c>
      <c r="C32" s="130" t="s">
        <v>39</v>
      </c>
      <c r="D32" s="135" t="s">
        <v>42</v>
      </c>
      <c r="E32" s="127" t="s">
        <v>21</v>
      </c>
      <c r="F32" s="134">
        <v>1500</v>
      </c>
      <c r="G32" s="134">
        <v>3000</v>
      </c>
      <c r="H32" s="134">
        <v>1</v>
      </c>
      <c r="I32" s="141">
        <f t="shared" si="2"/>
        <v>4.5</v>
      </c>
      <c r="J32" s="141"/>
      <c r="K32" s="139">
        <f t="shared" si="3"/>
        <v>0</v>
      </c>
      <c r="L32" s="141"/>
      <c r="M32" s="139">
        <f t="shared" si="4"/>
        <v>0</v>
      </c>
      <c r="N32" s="142"/>
    </row>
    <row r="33" spans="1:14" ht="19.5" customHeight="1">
      <c r="A33" s="134">
        <v>29</v>
      </c>
      <c r="B33" s="130" t="s">
        <v>54</v>
      </c>
      <c r="C33" s="130" t="s">
        <v>39</v>
      </c>
      <c r="D33" s="135" t="s">
        <v>42</v>
      </c>
      <c r="E33" s="127" t="s">
        <v>21</v>
      </c>
      <c r="F33" s="134">
        <v>1600</v>
      </c>
      <c r="G33" s="134">
        <v>2100</v>
      </c>
      <c r="H33" s="134">
        <v>1</v>
      </c>
      <c r="I33" s="141">
        <f t="shared" si="2"/>
        <v>3.36</v>
      </c>
      <c r="J33" s="141"/>
      <c r="K33" s="139">
        <f t="shared" si="3"/>
        <v>0</v>
      </c>
      <c r="L33" s="141"/>
      <c r="M33" s="139">
        <f t="shared" si="4"/>
        <v>0</v>
      </c>
      <c r="N33" s="142"/>
    </row>
    <row r="34" spans="1:14" ht="19.5" customHeight="1">
      <c r="A34" s="128">
        <v>30</v>
      </c>
      <c r="B34" s="130" t="s">
        <v>55</v>
      </c>
      <c r="C34" s="130" t="s">
        <v>39</v>
      </c>
      <c r="D34" s="135" t="s">
        <v>42</v>
      </c>
      <c r="E34" s="127" t="s">
        <v>21</v>
      </c>
      <c r="F34" s="134">
        <v>1800</v>
      </c>
      <c r="G34" s="134">
        <v>2200</v>
      </c>
      <c r="H34" s="134">
        <v>1</v>
      </c>
      <c r="I34" s="141">
        <f t="shared" si="2"/>
        <v>3.96</v>
      </c>
      <c r="J34" s="141"/>
      <c r="K34" s="139">
        <f t="shared" si="3"/>
        <v>0</v>
      </c>
      <c r="L34" s="141"/>
      <c r="M34" s="139">
        <f t="shared" si="4"/>
        <v>0</v>
      </c>
      <c r="N34" s="142"/>
    </row>
    <row r="35" spans="1:14" ht="19.5" customHeight="1">
      <c r="A35" s="128">
        <v>31</v>
      </c>
      <c r="B35" s="130" t="s">
        <v>56</v>
      </c>
      <c r="C35" s="130" t="s">
        <v>39</v>
      </c>
      <c r="D35" s="135" t="s">
        <v>42</v>
      </c>
      <c r="E35" s="127" t="s">
        <v>21</v>
      </c>
      <c r="F35" s="134">
        <v>1800</v>
      </c>
      <c r="G35" s="134">
        <v>2200</v>
      </c>
      <c r="H35" s="134">
        <v>1</v>
      </c>
      <c r="I35" s="141">
        <f t="shared" si="2"/>
        <v>3.96</v>
      </c>
      <c r="J35" s="141"/>
      <c r="K35" s="139">
        <f t="shared" si="3"/>
        <v>0</v>
      </c>
      <c r="L35" s="141"/>
      <c r="M35" s="139">
        <f t="shared" si="4"/>
        <v>0</v>
      </c>
      <c r="N35" s="142"/>
    </row>
    <row r="36" spans="1:14" ht="19.5" customHeight="1">
      <c r="A36" s="134">
        <v>32</v>
      </c>
      <c r="B36" s="130" t="s">
        <v>57</v>
      </c>
      <c r="C36" s="130" t="s">
        <v>39</v>
      </c>
      <c r="D36" s="135" t="s">
        <v>42</v>
      </c>
      <c r="E36" s="127" t="s">
        <v>21</v>
      </c>
      <c r="F36" s="134">
        <v>1800</v>
      </c>
      <c r="G36" s="134">
        <v>2800</v>
      </c>
      <c r="H36" s="134">
        <v>1</v>
      </c>
      <c r="I36" s="141">
        <f t="shared" si="2"/>
        <v>5.04</v>
      </c>
      <c r="J36" s="141"/>
      <c r="K36" s="139">
        <f t="shared" si="3"/>
        <v>0</v>
      </c>
      <c r="L36" s="141"/>
      <c r="M36" s="139">
        <f t="shared" si="4"/>
        <v>0</v>
      </c>
      <c r="N36" s="142"/>
    </row>
    <row r="37" spans="1:14" ht="19.5" customHeight="1">
      <c r="A37" s="128">
        <v>33</v>
      </c>
      <c r="B37" s="130" t="s">
        <v>58</v>
      </c>
      <c r="C37" s="130" t="s">
        <v>39</v>
      </c>
      <c r="D37" s="135" t="s">
        <v>42</v>
      </c>
      <c r="E37" s="127" t="s">
        <v>21</v>
      </c>
      <c r="F37" s="134">
        <v>2000</v>
      </c>
      <c r="G37" s="134">
        <v>2200</v>
      </c>
      <c r="H37" s="134">
        <v>2</v>
      </c>
      <c r="I37" s="141">
        <f t="shared" si="2"/>
        <v>8.8</v>
      </c>
      <c r="J37" s="141"/>
      <c r="K37" s="139">
        <f t="shared" si="3"/>
        <v>0</v>
      </c>
      <c r="L37" s="141"/>
      <c r="M37" s="139">
        <f t="shared" si="4"/>
        <v>0</v>
      </c>
      <c r="N37" s="142"/>
    </row>
    <row r="38" spans="1:14" ht="19.5" customHeight="1">
      <c r="A38" s="128">
        <v>34</v>
      </c>
      <c r="B38" s="130" t="s">
        <v>59</v>
      </c>
      <c r="C38" s="130" t="s">
        <v>39</v>
      </c>
      <c r="D38" s="135" t="s">
        <v>42</v>
      </c>
      <c r="E38" s="127" t="s">
        <v>21</v>
      </c>
      <c r="F38" s="134">
        <v>2000</v>
      </c>
      <c r="G38" s="134">
        <v>2200</v>
      </c>
      <c r="H38" s="134">
        <v>1</v>
      </c>
      <c r="I38" s="141">
        <f t="shared" si="2"/>
        <v>4.4</v>
      </c>
      <c r="J38" s="141"/>
      <c r="K38" s="139">
        <f t="shared" si="3"/>
        <v>0</v>
      </c>
      <c r="L38" s="141"/>
      <c r="M38" s="139">
        <f t="shared" si="4"/>
        <v>0</v>
      </c>
      <c r="N38" s="142"/>
    </row>
    <row r="39" spans="1:14" ht="19.5" customHeight="1">
      <c r="A39" s="134">
        <v>35</v>
      </c>
      <c r="B39" s="130" t="s">
        <v>60</v>
      </c>
      <c r="C39" s="130" t="s">
        <v>39</v>
      </c>
      <c r="D39" s="135" t="s">
        <v>42</v>
      </c>
      <c r="E39" s="127" t="s">
        <v>21</v>
      </c>
      <c r="F39" s="134">
        <v>2000</v>
      </c>
      <c r="G39" s="134">
        <v>2200</v>
      </c>
      <c r="H39" s="134">
        <v>1</v>
      </c>
      <c r="I39" s="141">
        <f t="shared" si="2"/>
        <v>4.4</v>
      </c>
      <c r="J39" s="141"/>
      <c r="K39" s="139">
        <f t="shared" si="3"/>
        <v>0</v>
      </c>
      <c r="L39" s="141"/>
      <c r="M39" s="139">
        <f t="shared" si="4"/>
        <v>0</v>
      </c>
      <c r="N39" s="142"/>
    </row>
    <row r="40" spans="1:14" ht="19.5" customHeight="1">
      <c r="A40" s="128">
        <v>36</v>
      </c>
      <c r="B40" s="130" t="s">
        <v>61</v>
      </c>
      <c r="C40" s="130" t="s">
        <v>39</v>
      </c>
      <c r="D40" s="135" t="s">
        <v>42</v>
      </c>
      <c r="E40" s="127" t="s">
        <v>21</v>
      </c>
      <c r="F40" s="134">
        <v>2000</v>
      </c>
      <c r="G40" s="134">
        <v>2800</v>
      </c>
      <c r="H40" s="134">
        <v>2</v>
      </c>
      <c r="I40" s="141">
        <f aca="true" t="shared" si="5" ref="I40:I56">H40*G40*F40/1000000</f>
        <v>11.2</v>
      </c>
      <c r="J40" s="141"/>
      <c r="K40" s="139">
        <f t="shared" si="3"/>
        <v>0</v>
      </c>
      <c r="L40" s="141"/>
      <c r="M40" s="139">
        <f t="shared" si="4"/>
        <v>0</v>
      </c>
      <c r="N40" s="142"/>
    </row>
    <row r="41" spans="1:14" ht="19.5" customHeight="1">
      <c r="A41" s="128">
        <v>37</v>
      </c>
      <c r="B41" s="130" t="s">
        <v>62</v>
      </c>
      <c r="C41" s="130" t="s">
        <v>39</v>
      </c>
      <c r="D41" s="135" t="s">
        <v>42</v>
      </c>
      <c r="E41" s="127" t="s">
        <v>21</v>
      </c>
      <c r="F41" s="134">
        <v>2225</v>
      </c>
      <c r="G41" s="134">
        <v>2200</v>
      </c>
      <c r="H41" s="134">
        <v>4</v>
      </c>
      <c r="I41" s="141">
        <f t="shared" si="5"/>
        <v>19.58</v>
      </c>
      <c r="J41" s="141"/>
      <c r="K41" s="139">
        <f t="shared" si="3"/>
        <v>0</v>
      </c>
      <c r="L41" s="141"/>
      <c r="M41" s="139">
        <f t="shared" si="4"/>
        <v>0</v>
      </c>
      <c r="N41" s="142"/>
    </row>
    <row r="42" spans="1:14" ht="19.5" customHeight="1">
      <c r="A42" s="134">
        <v>38</v>
      </c>
      <c r="B42" s="130" t="s">
        <v>63</v>
      </c>
      <c r="C42" s="130" t="s">
        <v>39</v>
      </c>
      <c r="D42" s="135" t="s">
        <v>42</v>
      </c>
      <c r="E42" s="127" t="s">
        <v>21</v>
      </c>
      <c r="F42" s="134">
        <v>2225</v>
      </c>
      <c r="G42" s="134">
        <v>2700</v>
      </c>
      <c r="H42" s="134">
        <v>4</v>
      </c>
      <c r="I42" s="141">
        <f t="shared" si="5"/>
        <v>24.03</v>
      </c>
      <c r="J42" s="141"/>
      <c r="K42" s="139">
        <f t="shared" si="3"/>
        <v>0</v>
      </c>
      <c r="L42" s="141"/>
      <c r="M42" s="139">
        <f t="shared" si="4"/>
        <v>0</v>
      </c>
      <c r="N42" s="142"/>
    </row>
    <row r="43" spans="1:14" ht="19.5" customHeight="1">
      <c r="A43" s="128">
        <v>39</v>
      </c>
      <c r="B43" s="130" t="s">
        <v>64</v>
      </c>
      <c r="C43" s="130" t="s">
        <v>39</v>
      </c>
      <c r="D43" s="135" t="s">
        <v>42</v>
      </c>
      <c r="E43" s="127" t="s">
        <v>21</v>
      </c>
      <c r="F43" s="134">
        <v>2225</v>
      </c>
      <c r="G43" s="134">
        <v>2800</v>
      </c>
      <c r="H43" s="134">
        <v>4</v>
      </c>
      <c r="I43" s="141">
        <f t="shared" si="5"/>
        <v>24.92</v>
      </c>
      <c r="J43" s="141"/>
      <c r="K43" s="139">
        <f t="shared" si="3"/>
        <v>0</v>
      </c>
      <c r="L43" s="141"/>
      <c r="M43" s="139">
        <f t="shared" si="4"/>
        <v>0</v>
      </c>
      <c r="N43" s="142"/>
    </row>
    <row r="44" spans="1:14" ht="19.5" customHeight="1">
      <c r="A44" s="128">
        <v>40</v>
      </c>
      <c r="B44" s="130" t="s">
        <v>65</v>
      </c>
      <c r="C44" s="130" t="s">
        <v>39</v>
      </c>
      <c r="D44" s="135" t="s">
        <v>42</v>
      </c>
      <c r="E44" s="127" t="s">
        <v>21</v>
      </c>
      <c r="F44" s="134">
        <v>2225</v>
      </c>
      <c r="G44" s="134">
        <v>3000</v>
      </c>
      <c r="H44" s="134">
        <v>4</v>
      </c>
      <c r="I44" s="141">
        <f t="shared" si="5"/>
        <v>26.7</v>
      </c>
      <c r="J44" s="141"/>
      <c r="K44" s="139">
        <f aca="true" t="shared" si="6" ref="K44:K79">I44*J44</f>
        <v>0</v>
      </c>
      <c r="L44" s="141"/>
      <c r="M44" s="139">
        <f aca="true" t="shared" si="7" ref="M44:M79">I44*L44</f>
        <v>0</v>
      </c>
      <c r="N44" s="142"/>
    </row>
    <row r="45" spans="1:14" ht="19.5" customHeight="1">
      <c r="A45" s="134">
        <v>41</v>
      </c>
      <c r="B45" s="130" t="s">
        <v>66</v>
      </c>
      <c r="C45" s="130" t="s">
        <v>39</v>
      </c>
      <c r="D45" s="135" t="s">
        <v>67</v>
      </c>
      <c r="E45" s="127" t="s">
        <v>21</v>
      </c>
      <c r="F45" s="134">
        <v>2275</v>
      </c>
      <c r="G45" s="134">
        <v>2100</v>
      </c>
      <c r="H45" s="134">
        <v>16</v>
      </c>
      <c r="I45" s="141">
        <f t="shared" si="5"/>
        <v>76.44</v>
      </c>
      <c r="J45" s="141"/>
      <c r="K45" s="139">
        <f t="shared" si="6"/>
        <v>0</v>
      </c>
      <c r="L45" s="141"/>
      <c r="M45" s="139">
        <f t="shared" si="7"/>
        <v>0</v>
      </c>
      <c r="N45" s="142"/>
    </row>
    <row r="46" spans="1:14" ht="19.5" customHeight="1">
      <c r="A46" s="128">
        <v>42</v>
      </c>
      <c r="B46" s="130" t="s">
        <v>68</v>
      </c>
      <c r="C46" s="130" t="s">
        <v>39</v>
      </c>
      <c r="D46" s="135" t="s">
        <v>42</v>
      </c>
      <c r="E46" s="127" t="s">
        <v>21</v>
      </c>
      <c r="F46" s="134">
        <v>2260</v>
      </c>
      <c r="G46" s="134">
        <v>3000</v>
      </c>
      <c r="H46" s="134">
        <v>2</v>
      </c>
      <c r="I46" s="141">
        <f t="shared" si="5"/>
        <v>13.56</v>
      </c>
      <c r="J46" s="141"/>
      <c r="K46" s="139">
        <f t="shared" si="6"/>
        <v>0</v>
      </c>
      <c r="L46" s="141"/>
      <c r="M46" s="139">
        <f t="shared" si="7"/>
        <v>0</v>
      </c>
      <c r="N46" s="142"/>
    </row>
    <row r="47" spans="1:14" ht="19.5" customHeight="1">
      <c r="A47" s="128">
        <v>43</v>
      </c>
      <c r="B47" s="130" t="s">
        <v>69</v>
      </c>
      <c r="C47" s="130" t="s">
        <v>39</v>
      </c>
      <c r="D47" s="135" t="s">
        <v>42</v>
      </c>
      <c r="E47" s="127" t="s">
        <v>21</v>
      </c>
      <c r="F47" s="134">
        <v>2275</v>
      </c>
      <c r="G47" s="134">
        <v>4000</v>
      </c>
      <c r="H47" s="134">
        <v>8</v>
      </c>
      <c r="I47" s="141">
        <f t="shared" si="5"/>
        <v>72.8</v>
      </c>
      <c r="J47" s="141"/>
      <c r="K47" s="139">
        <f t="shared" si="6"/>
        <v>0</v>
      </c>
      <c r="L47" s="141"/>
      <c r="M47" s="139">
        <f t="shared" si="7"/>
        <v>0</v>
      </c>
      <c r="N47" s="142"/>
    </row>
    <row r="48" spans="1:14" ht="19.5" customHeight="1">
      <c r="A48" s="134">
        <v>44</v>
      </c>
      <c r="B48" s="130" t="s">
        <v>70</v>
      </c>
      <c r="C48" s="130" t="s">
        <v>39</v>
      </c>
      <c r="D48" s="135" t="s">
        <v>42</v>
      </c>
      <c r="E48" s="127" t="s">
        <v>21</v>
      </c>
      <c r="F48" s="134">
        <v>2550</v>
      </c>
      <c r="G48" s="134">
        <v>2100</v>
      </c>
      <c r="H48" s="134">
        <v>12</v>
      </c>
      <c r="I48" s="141">
        <f t="shared" si="5"/>
        <v>64.26</v>
      </c>
      <c r="J48" s="141"/>
      <c r="K48" s="139">
        <f t="shared" si="6"/>
        <v>0</v>
      </c>
      <c r="L48" s="141"/>
      <c r="M48" s="139">
        <f t="shared" si="7"/>
        <v>0</v>
      </c>
      <c r="N48" s="142"/>
    </row>
    <row r="49" spans="1:14" ht="19.5" customHeight="1">
      <c r="A49" s="128">
        <v>45</v>
      </c>
      <c r="B49" s="130" t="s">
        <v>71</v>
      </c>
      <c r="C49" s="130" t="s">
        <v>39</v>
      </c>
      <c r="D49" s="135" t="s">
        <v>42</v>
      </c>
      <c r="E49" s="127" t="s">
        <v>21</v>
      </c>
      <c r="F49" s="134">
        <v>2550</v>
      </c>
      <c r="G49" s="134">
        <v>4000</v>
      </c>
      <c r="H49" s="134">
        <v>6</v>
      </c>
      <c r="I49" s="141">
        <f t="shared" si="5"/>
        <v>61.2</v>
      </c>
      <c r="J49" s="141"/>
      <c r="K49" s="139">
        <f t="shared" si="6"/>
        <v>0</v>
      </c>
      <c r="L49" s="141"/>
      <c r="M49" s="139">
        <f t="shared" si="7"/>
        <v>0</v>
      </c>
      <c r="N49" s="142"/>
    </row>
    <row r="50" spans="1:14" ht="19.5" customHeight="1">
      <c r="A50" s="128">
        <v>46</v>
      </c>
      <c r="B50" s="130" t="s">
        <v>72</v>
      </c>
      <c r="C50" s="130" t="s">
        <v>39</v>
      </c>
      <c r="D50" s="135" t="s">
        <v>42</v>
      </c>
      <c r="E50" s="127" t="s">
        <v>21</v>
      </c>
      <c r="F50" s="134">
        <v>2800</v>
      </c>
      <c r="G50" s="134">
        <v>2100</v>
      </c>
      <c r="H50" s="134">
        <v>2</v>
      </c>
      <c r="I50" s="141">
        <f t="shared" si="5"/>
        <v>11.76</v>
      </c>
      <c r="J50" s="141"/>
      <c r="K50" s="139">
        <f t="shared" si="6"/>
        <v>0</v>
      </c>
      <c r="L50" s="141"/>
      <c r="M50" s="139">
        <f t="shared" si="7"/>
        <v>0</v>
      </c>
      <c r="N50" s="142"/>
    </row>
    <row r="51" spans="1:14" ht="19.5" customHeight="1">
      <c r="A51" s="134">
        <v>47</v>
      </c>
      <c r="B51" s="130" t="s">
        <v>73</v>
      </c>
      <c r="C51" s="130" t="s">
        <v>39</v>
      </c>
      <c r="D51" s="135" t="s">
        <v>42</v>
      </c>
      <c r="E51" s="127" t="s">
        <v>21</v>
      </c>
      <c r="F51" s="134">
        <v>2800</v>
      </c>
      <c r="G51" s="134">
        <v>4000</v>
      </c>
      <c r="H51" s="134">
        <v>1</v>
      </c>
      <c r="I51" s="141">
        <f t="shared" si="5"/>
        <v>11.2</v>
      </c>
      <c r="J51" s="141"/>
      <c r="K51" s="139">
        <f t="shared" si="6"/>
        <v>0</v>
      </c>
      <c r="L51" s="141"/>
      <c r="M51" s="139">
        <f t="shared" si="7"/>
        <v>0</v>
      </c>
      <c r="N51" s="142"/>
    </row>
    <row r="52" spans="1:14" ht="24.75" customHeight="1">
      <c r="A52" s="128">
        <v>48</v>
      </c>
      <c r="B52" s="130" t="s">
        <v>74</v>
      </c>
      <c r="C52" s="130" t="s">
        <v>39</v>
      </c>
      <c r="D52" s="135" t="s">
        <v>75</v>
      </c>
      <c r="E52" s="127" t="s">
        <v>21</v>
      </c>
      <c r="F52" s="134">
        <v>3000</v>
      </c>
      <c r="G52" s="134">
        <v>2100</v>
      </c>
      <c r="H52" s="134">
        <v>16</v>
      </c>
      <c r="I52" s="141">
        <f t="shared" si="5"/>
        <v>100.8</v>
      </c>
      <c r="J52" s="141"/>
      <c r="K52" s="139">
        <f t="shared" si="6"/>
        <v>0</v>
      </c>
      <c r="L52" s="141"/>
      <c r="M52" s="139">
        <f t="shared" si="7"/>
        <v>0</v>
      </c>
      <c r="N52" s="142"/>
    </row>
    <row r="53" spans="1:14" ht="19.5" customHeight="1">
      <c r="A53" s="128">
        <v>49</v>
      </c>
      <c r="B53" s="130" t="s">
        <v>76</v>
      </c>
      <c r="C53" s="130" t="s">
        <v>39</v>
      </c>
      <c r="D53" s="135" t="s">
        <v>42</v>
      </c>
      <c r="E53" s="127" t="s">
        <v>21</v>
      </c>
      <c r="F53" s="134">
        <v>3050</v>
      </c>
      <c r="G53" s="134">
        <v>2200</v>
      </c>
      <c r="H53" s="134">
        <v>3</v>
      </c>
      <c r="I53" s="141">
        <f t="shared" si="5"/>
        <v>20.13</v>
      </c>
      <c r="J53" s="141"/>
      <c r="K53" s="139">
        <f t="shared" si="6"/>
        <v>0</v>
      </c>
      <c r="L53" s="141"/>
      <c r="M53" s="139">
        <f t="shared" si="7"/>
        <v>0</v>
      </c>
      <c r="N53" s="142"/>
    </row>
    <row r="54" spans="1:14" ht="19.5" customHeight="1">
      <c r="A54" s="134">
        <v>50</v>
      </c>
      <c r="B54" s="130" t="s">
        <v>77</v>
      </c>
      <c r="C54" s="130" t="s">
        <v>39</v>
      </c>
      <c r="D54" s="135" t="s">
        <v>42</v>
      </c>
      <c r="E54" s="127" t="s">
        <v>21</v>
      </c>
      <c r="F54" s="134">
        <v>3050</v>
      </c>
      <c r="G54" s="134">
        <v>2200</v>
      </c>
      <c r="H54" s="134">
        <v>3</v>
      </c>
      <c r="I54" s="141">
        <f t="shared" si="5"/>
        <v>20.13</v>
      </c>
      <c r="J54" s="141"/>
      <c r="K54" s="139">
        <f t="shared" si="6"/>
        <v>0</v>
      </c>
      <c r="L54" s="141"/>
      <c r="M54" s="139">
        <f t="shared" si="7"/>
        <v>0</v>
      </c>
      <c r="N54" s="142"/>
    </row>
    <row r="55" spans="1:14" ht="19.5" customHeight="1">
      <c r="A55" s="128">
        <v>51</v>
      </c>
      <c r="B55" s="130" t="s">
        <v>78</v>
      </c>
      <c r="C55" s="130" t="s">
        <v>39</v>
      </c>
      <c r="D55" s="135" t="s">
        <v>42</v>
      </c>
      <c r="E55" s="127" t="s">
        <v>21</v>
      </c>
      <c r="F55" s="134">
        <v>3050</v>
      </c>
      <c r="G55" s="134">
        <v>2800</v>
      </c>
      <c r="H55" s="134">
        <v>3</v>
      </c>
      <c r="I55" s="141">
        <f t="shared" si="5"/>
        <v>25.62</v>
      </c>
      <c r="J55" s="141"/>
      <c r="K55" s="139">
        <f t="shared" si="6"/>
        <v>0</v>
      </c>
      <c r="L55" s="141"/>
      <c r="M55" s="139">
        <f t="shared" si="7"/>
        <v>0</v>
      </c>
      <c r="N55" s="142"/>
    </row>
    <row r="56" spans="1:14" ht="19.5" customHeight="1">
      <c r="A56" s="128">
        <v>52</v>
      </c>
      <c r="B56" s="130" t="s">
        <v>79</v>
      </c>
      <c r="C56" s="130" t="s">
        <v>39</v>
      </c>
      <c r="D56" s="135" t="s">
        <v>42</v>
      </c>
      <c r="E56" s="127" t="s">
        <v>21</v>
      </c>
      <c r="F56" s="134">
        <v>3050</v>
      </c>
      <c r="G56" s="134">
        <v>3000</v>
      </c>
      <c r="H56" s="134">
        <v>3</v>
      </c>
      <c r="I56" s="141">
        <f t="shared" si="5"/>
        <v>27.45</v>
      </c>
      <c r="J56" s="141"/>
      <c r="K56" s="139">
        <f t="shared" si="6"/>
        <v>0</v>
      </c>
      <c r="L56" s="141"/>
      <c r="M56" s="139">
        <f t="shared" si="7"/>
        <v>0</v>
      </c>
      <c r="N56" s="142"/>
    </row>
    <row r="57" spans="1:14" ht="19.5" customHeight="1">
      <c r="A57" s="134">
        <v>53</v>
      </c>
      <c r="B57" s="130" t="s">
        <v>80</v>
      </c>
      <c r="C57" s="130" t="s">
        <v>39</v>
      </c>
      <c r="D57" s="135" t="s">
        <v>42</v>
      </c>
      <c r="E57" s="127" t="s">
        <v>21</v>
      </c>
      <c r="F57" s="134">
        <v>3040</v>
      </c>
      <c r="G57" s="134">
        <v>4000</v>
      </c>
      <c r="H57" s="134">
        <f>7+1</f>
        <v>8</v>
      </c>
      <c r="I57" s="141">
        <f aca="true" t="shared" si="8" ref="I47:I78">H57*G57*F57/1000000</f>
        <v>97.28</v>
      </c>
      <c r="J57" s="141"/>
      <c r="K57" s="139">
        <f t="shared" si="6"/>
        <v>0</v>
      </c>
      <c r="L57" s="141"/>
      <c r="M57" s="139">
        <f t="shared" si="7"/>
        <v>0</v>
      </c>
      <c r="N57" s="142"/>
    </row>
    <row r="58" spans="1:14" ht="19.5" customHeight="1">
      <c r="A58" s="128">
        <v>54</v>
      </c>
      <c r="B58" s="130" t="s">
        <v>81</v>
      </c>
      <c r="C58" s="130" t="s">
        <v>39</v>
      </c>
      <c r="D58" s="135" t="s">
        <v>42</v>
      </c>
      <c r="E58" s="127" t="s">
        <v>21</v>
      </c>
      <c r="F58" s="134">
        <v>3070</v>
      </c>
      <c r="G58" s="134">
        <v>2100</v>
      </c>
      <c r="H58" s="134">
        <v>4</v>
      </c>
      <c r="I58" s="141">
        <f t="shared" si="8"/>
        <v>25.788</v>
      </c>
      <c r="J58" s="141"/>
      <c r="K58" s="139">
        <f t="shared" si="6"/>
        <v>0</v>
      </c>
      <c r="L58" s="141"/>
      <c r="M58" s="139">
        <f t="shared" si="7"/>
        <v>0</v>
      </c>
      <c r="N58" s="142"/>
    </row>
    <row r="59" spans="1:14" ht="19.5" customHeight="1">
      <c r="A59" s="128">
        <v>55</v>
      </c>
      <c r="B59" s="130" t="s">
        <v>81</v>
      </c>
      <c r="C59" s="130" t="s">
        <v>39</v>
      </c>
      <c r="D59" s="135" t="s">
        <v>42</v>
      </c>
      <c r="E59" s="127" t="s">
        <v>21</v>
      </c>
      <c r="F59" s="134">
        <v>3050</v>
      </c>
      <c r="G59" s="134">
        <v>2100</v>
      </c>
      <c r="H59" s="134">
        <v>2</v>
      </c>
      <c r="I59" s="141">
        <f t="shared" si="8"/>
        <v>12.81</v>
      </c>
      <c r="J59" s="141"/>
      <c r="K59" s="139">
        <f t="shared" si="6"/>
        <v>0</v>
      </c>
      <c r="L59" s="141"/>
      <c r="M59" s="139">
        <f t="shared" si="7"/>
        <v>0</v>
      </c>
      <c r="N59" s="142"/>
    </row>
    <row r="60" spans="1:14" ht="19.5" customHeight="1">
      <c r="A60" s="134">
        <v>56</v>
      </c>
      <c r="B60" s="130" t="s">
        <v>82</v>
      </c>
      <c r="C60" s="130" t="s">
        <v>39</v>
      </c>
      <c r="D60" s="135" t="s">
        <v>42</v>
      </c>
      <c r="E60" s="127" t="s">
        <v>21</v>
      </c>
      <c r="F60" s="134">
        <v>3150</v>
      </c>
      <c r="G60" s="134">
        <v>2200</v>
      </c>
      <c r="H60" s="134">
        <v>10</v>
      </c>
      <c r="I60" s="141">
        <f t="shared" si="8"/>
        <v>69.3</v>
      </c>
      <c r="J60" s="141"/>
      <c r="K60" s="139">
        <f t="shared" si="6"/>
        <v>0</v>
      </c>
      <c r="L60" s="141"/>
      <c r="M60" s="139">
        <f t="shared" si="7"/>
        <v>0</v>
      </c>
      <c r="N60" s="142"/>
    </row>
    <row r="61" spans="1:14" ht="19.5" customHeight="1">
      <c r="A61" s="128">
        <v>57</v>
      </c>
      <c r="B61" s="130" t="s">
        <v>83</v>
      </c>
      <c r="C61" s="130" t="s">
        <v>39</v>
      </c>
      <c r="D61" s="135" t="s">
        <v>42</v>
      </c>
      <c r="E61" s="127" t="s">
        <v>21</v>
      </c>
      <c r="F61" s="134">
        <v>3150</v>
      </c>
      <c r="G61" s="134">
        <v>2200</v>
      </c>
      <c r="H61" s="134">
        <v>10</v>
      </c>
      <c r="I61" s="141">
        <f t="shared" si="8"/>
        <v>69.3</v>
      </c>
      <c r="J61" s="141"/>
      <c r="K61" s="139">
        <f t="shared" si="6"/>
        <v>0</v>
      </c>
      <c r="L61" s="141"/>
      <c r="M61" s="139">
        <f t="shared" si="7"/>
        <v>0</v>
      </c>
      <c r="N61" s="142"/>
    </row>
    <row r="62" spans="1:14" ht="19.5" customHeight="1">
      <c r="A62" s="128">
        <v>58</v>
      </c>
      <c r="B62" s="130" t="s">
        <v>84</v>
      </c>
      <c r="C62" s="130" t="s">
        <v>39</v>
      </c>
      <c r="D62" s="135" t="s">
        <v>42</v>
      </c>
      <c r="E62" s="127" t="s">
        <v>21</v>
      </c>
      <c r="F62" s="134">
        <v>3150</v>
      </c>
      <c r="G62" s="134">
        <v>2800</v>
      </c>
      <c r="H62" s="134">
        <v>10</v>
      </c>
      <c r="I62" s="141">
        <f t="shared" si="8"/>
        <v>88.2</v>
      </c>
      <c r="J62" s="141"/>
      <c r="K62" s="139">
        <f t="shared" si="6"/>
        <v>0</v>
      </c>
      <c r="L62" s="141"/>
      <c r="M62" s="139">
        <f t="shared" si="7"/>
        <v>0</v>
      </c>
      <c r="N62" s="142"/>
    </row>
    <row r="63" spans="1:14" ht="19.5" customHeight="1">
      <c r="A63" s="134">
        <v>59</v>
      </c>
      <c r="B63" s="130" t="s">
        <v>85</v>
      </c>
      <c r="C63" s="130" t="s">
        <v>39</v>
      </c>
      <c r="D63" s="135" t="s">
        <v>42</v>
      </c>
      <c r="E63" s="127" t="s">
        <v>21</v>
      </c>
      <c r="F63" s="134">
        <v>3150</v>
      </c>
      <c r="G63" s="134">
        <v>3000</v>
      </c>
      <c r="H63" s="134">
        <v>10</v>
      </c>
      <c r="I63" s="141">
        <f t="shared" si="8"/>
        <v>94.5</v>
      </c>
      <c r="J63" s="141"/>
      <c r="K63" s="139">
        <f t="shared" si="6"/>
        <v>0</v>
      </c>
      <c r="L63" s="141"/>
      <c r="M63" s="139">
        <f t="shared" si="7"/>
        <v>0</v>
      </c>
      <c r="N63" s="142"/>
    </row>
    <row r="64" spans="1:14" ht="19.5" customHeight="1">
      <c r="A64" s="128">
        <v>60</v>
      </c>
      <c r="B64" s="130" t="s">
        <v>86</v>
      </c>
      <c r="C64" s="130" t="s">
        <v>39</v>
      </c>
      <c r="D64" s="135" t="s">
        <v>42</v>
      </c>
      <c r="E64" s="127" t="s">
        <v>21</v>
      </c>
      <c r="F64" s="134">
        <v>3070</v>
      </c>
      <c r="G64" s="134">
        <v>4000</v>
      </c>
      <c r="H64" s="134">
        <v>2</v>
      </c>
      <c r="I64" s="141">
        <f t="shared" si="8"/>
        <v>24.56</v>
      </c>
      <c r="J64" s="141"/>
      <c r="K64" s="139">
        <f t="shared" si="6"/>
        <v>0</v>
      </c>
      <c r="L64" s="141"/>
      <c r="M64" s="139">
        <f t="shared" si="7"/>
        <v>0</v>
      </c>
      <c r="N64" s="142"/>
    </row>
    <row r="65" spans="1:14" ht="19.5" customHeight="1">
      <c r="A65" s="128">
        <v>61</v>
      </c>
      <c r="B65" s="130" t="s">
        <v>86</v>
      </c>
      <c r="C65" s="130" t="s">
        <v>39</v>
      </c>
      <c r="D65" s="135" t="s">
        <v>42</v>
      </c>
      <c r="E65" s="127" t="s">
        <v>21</v>
      </c>
      <c r="F65" s="134">
        <v>3050</v>
      </c>
      <c r="G65" s="134">
        <v>4000</v>
      </c>
      <c r="H65" s="134">
        <v>1</v>
      </c>
      <c r="I65" s="141">
        <f t="shared" si="8"/>
        <v>12.2</v>
      </c>
      <c r="J65" s="141"/>
      <c r="K65" s="139">
        <f t="shared" si="6"/>
        <v>0</v>
      </c>
      <c r="L65" s="141"/>
      <c r="M65" s="139">
        <f t="shared" si="7"/>
        <v>0</v>
      </c>
      <c r="N65" s="142"/>
    </row>
    <row r="66" spans="1:14" ht="19.5" customHeight="1">
      <c r="A66" s="134">
        <v>62</v>
      </c>
      <c r="B66" s="130" t="s">
        <v>87</v>
      </c>
      <c r="C66" s="130" t="s">
        <v>39</v>
      </c>
      <c r="D66" s="135" t="s">
        <v>42</v>
      </c>
      <c r="E66" s="127" t="s">
        <v>21</v>
      </c>
      <c r="F66" s="134">
        <v>3190</v>
      </c>
      <c r="G66" s="134">
        <v>2100</v>
      </c>
      <c r="H66" s="134">
        <v>18</v>
      </c>
      <c r="I66" s="141">
        <f t="shared" si="8"/>
        <v>120.582</v>
      </c>
      <c r="J66" s="141"/>
      <c r="K66" s="139">
        <f t="shared" si="6"/>
        <v>0</v>
      </c>
      <c r="L66" s="141"/>
      <c r="M66" s="139">
        <f t="shared" si="7"/>
        <v>0</v>
      </c>
      <c r="N66" s="142"/>
    </row>
    <row r="67" spans="1:14" ht="19.5" customHeight="1">
      <c r="A67" s="128">
        <v>63</v>
      </c>
      <c r="B67" s="130" t="s">
        <v>88</v>
      </c>
      <c r="C67" s="130" t="s">
        <v>39</v>
      </c>
      <c r="D67" s="135" t="s">
        <v>42</v>
      </c>
      <c r="E67" s="127" t="s">
        <v>21</v>
      </c>
      <c r="F67" s="134">
        <v>3200</v>
      </c>
      <c r="G67" s="134">
        <v>2200</v>
      </c>
      <c r="H67" s="134">
        <v>5</v>
      </c>
      <c r="I67" s="141">
        <f t="shared" si="8"/>
        <v>35.2</v>
      </c>
      <c r="J67" s="141"/>
      <c r="K67" s="139">
        <f t="shared" si="6"/>
        <v>0</v>
      </c>
      <c r="L67" s="141"/>
      <c r="M67" s="139">
        <f t="shared" si="7"/>
        <v>0</v>
      </c>
      <c r="N67" s="142"/>
    </row>
    <row r="68" spans="1:14" ht="19.5" customHeight="1">
      <c r="A68" s="128">
        <v>64</v>
      </c>
      <c r="B68" s="130" t="s">
        <v>89</v>
      </c>
      <c r="C68" s="130" t="s">
        <v>39</v>
      </c>
      <c r="D68" s="135" t="s">
        <v>42</v>
      </c>
      <c r="E68" s="127" t="s">
        <v>21</v>
      </c>
      <c r="F68" s="134">
        <v>3200</v>
      </c>
      <c r="G68" s="134">
        <v>2200</v>
      </c>
      <c r="H68" s="134">
        <v>5</v>
      </c>
      <c r="I68" s="141">
        <f t="shared" si="8"/>
        <v>35.2</v>
      </c>
      <c r="J68" s="141"/>
      <c r="K68" s="139">
        <f t="shared" si="6"/>
        <v>0</v>
      </c>
      <c r="L68" s="141"/>
      <c r="M68" s="139">
        <f t="shared" si="7"/>
        <v>0</v>
      </c>
      <c r="N68" s="142"/>
    </row>
    <row r="69" spans="1:14" ht="19.5" customHeight="1">
      <c r="A69" s="134">
        <v>65</v>
      </c>
      <c r="B69" s="130" t="s">
        <v>90</v>
      </c>
      <c r="C69" s="130" t="s">
        <v>39</v>
      </c>
      <c r="D69" s="135" t="s">
        <v>42</v>
      </c>
      <c r="E69" s="127" t="s">
        <v>21</v>
      </c>
      <c r="F69" s="134">
        <v>3200</v>
      </c>
      <c r="G69" s="134">
        <v>2800</v>
      </c>
      <c r="H69" s="134">
        <v>5</v>
      </c>
      <c r="I69" s="141">
        <f t="shared" si="8"/>
        <v>44.8</v>
      </c>
      <c r="J69" s="141"/>
      <c r="K69" s="139">
        <f t="shared" si="6"/>
        <v>0</v>
      </c>
      <c r="L69" s="141"/>
      <c r="M69" s="139">
        <f t="shared" si="7"/>
        <v>0</v>
      </c>
      <c r="N69" s="142"/>
    </row>
    <row r="70" spans="1:14" ht="19.5" customHeight="1">
      <c r="A70" s="128">
        <v>66</v>
      </c>
      <c r="B70" s="130" t="s">
        <v>91</v>
      </c>
      <c r="C70" s="130" t="s">
        <v>39</v>
      </c>
      <c r="D70" s="135" t="s">
        <v>42</v>
      </c>
      <c r="E70" s="127" t="s">
        <v>21</v>
      </c>
      <c r="F70" s="134">
        <v>3200</v>
      </c>
      <c r="G70" s="134">
        <v>3000</v>
      </c>
      <c r="H70" s="134">
        <v>5</v>
      </c>
      <c r="I70" s="141">
        <f t="shared" si="8"/>
        <v>48</v>
      </c>
      <c r="J70" s="141"/>
      <c r="K70" s="139">
        <f t="shared" si="6"/>
        <v>0</v>
      </c>
      <c r="L70" s="141"/>
      <c r="M70" s="139">
        <f t="shared" si="7"/>
        <v>0</v>
      </c>
      <c r="N70" s="142"/>
    </row>
    <row r="71" spans="1:14" ht="19.5" customHeight="1">
      <c r="A71" s="128">
        <v>67</v>
      </c>
      <c r="B71" s="130" t="s">
        <v>92</v>
      </c>
      <c r="C71" s="130" t="s">
        <v>39</v>
      </c>
      <c r="D71" s="135" t="s">
        <v>42</v>
      </c>
      <c r="E71" s="127" t="s">
        <v>21</v>
      </c>
      <c r="F71" s="134">
        <v>3190</v>
      </c>
      <c r="G71" s="134">
        <v>4000</v>
      </c>
      <c r="H71" s="134">
        <v>9</v>
      </c>
      <c r="I71" s="141">
        <f t="shared" si="8"/>
        <v>114.84</v>
      </c>
      <c r="J71" s="141"/>
      <c r="K71" s="139">
        <f t="shared" si="6"/>
        <v>0</v>
      </c>
      <c r="L71" s="141"/>
      <c r="M71" s="139">
        <f t="shared" si="7"/>
        <v>0</v>
      </c>
      <c r="N71" s="142"/>
    </row>
    <row r="72" spans="1:14" ht="19.5" customHeight="1">
      <c r="A72" s="134">
        <v>68</v>
      </c>
      <c r="B72" s="130" t="s">
        <v>93</v>
      </c>
      <c r="C72" s="130" t="s">
        <v>39</v>
      </c>
      <c r="D72" s="135" t="s">
        <v>42</v>
      </c>
      <c r="E72" s="127" t="s">
        <v>21</v>
      </c>
      <c r="F72" s="134">
        <v>3400</v>
      </c>
      <c r="G72" s="134">
        <v>2100</v>
      </c>
      <c r="H72" s="134">
        <v>2</v>
      </c>
      <c r="I72" s="141">
        <f t="shared" si="8"/>
        <v>14.28</v>
      </c>
      <c r="J72" s="141"/>
      <c r="K72" s="139">
        <f t="shared" si="6"/>
        <v>0</v>
      </c>
      <c r="L72" s="141"/>
      <c r="M72" s="139">
        <f t="shared" si="7"/>
        <v>0</v>
      </c>
      <c r="N72" s="142"/>
    </row>
    <row r="73" spans="1:14" ht="19.5" customHeight="1">
      <c r="A73" s="128">
        <v>69</v>
      </c>
      <c r="B73" s="130" t="s">
        <v>94</v>
      </c>
      <c r="C73" s="130" t="s">
        <v>39</v>
      </c>
      <c r="D73" s="135" t="s">
        <v>42</v>
      </c>
      <c r="E73" s="127" t="s">
        <v>21</v>
      </c>
      <c r="F73" s="134">
        <v>3400</v>
      </c>
      <c r="G73" s="134">
        <v>2200</v>
      </c>
      <c r="H73" s="134">
        <v>2</v>
      </c>
      <c r="I73" s="141">
        <f t="shared" si="8"/>
        <v>14.96</v>
      </c>
      <c r="J73" s="141"/>
      <c r="K73" s="139">
        <f t="shared" si="6"/>
        <v>0</v>
      </c>
      <c r="L73" s="141"/>
      <c r="M73" s="139">
        <f t="shared" si="7"/>
        <v>0</v>
      </c>
      <c r="N73" s="142"/>
    </row>
    <row r="74" spans="1:14" ht="19.5" customHeight="1">
      <c r="A74" s="128">
        <v>70</v>
      </c>
      <c r="B74" s="130" t="s">
        <v>95</v>
      </c>
      <c r="C74" s="130" t="s">
        <v>39</v>
      </c>
      <c r="D74" s="135" t="s">
        <v>42</v>
      </c>
      <c r="E74" s="127" t="s">
        <v>21</v>
      </c>
      <c r="F74" s="134">
        <v>3700</v>
      </c>
      <c r="G74" s="134">
        <v>2200</v>
      </c>
      <c r="H74" s="134">
        <v>1</v>
      </c>
      <c r="I74" s="141">
        <f t="shared" si="8"/>
        <v>8.14</v>
      </c>
      <c r="J74" s="141"/>
      <c r="K74" s="139">
        <f t="shared" si="6"/>
        <v>0</v>
      </c>
      <c r="L74" s="141"/>
      <c r="M74" s="139">
        <f t="shared" si="7"/>
        <v>0</v>
      </c>
      <c r="N74" s="142"/>
    </row>
    <row r="75" spans="1:14" ht="19.5" customHeight="1">
      <c r="A75" s="134">
        <v>71</v>
      </c>
      <c r="B75" s="130" t="s">
        <v>96</v>
      </c>
      <c r="C75" s="130" t="s">
        <v>39</v>
      </c>
      <c r="D75" s="135" t="s">
        <v>42</v>
      </c>
      <c r="E75" s="127" t="s">
        <v>21</v>
      </c>
      <c r="F75" s="134">
        <v>3700</v>
      </c>
      <c r="G75" s="134">
        <v>2200</v>
      </c>
      <c r="H75" s="134">
        <v>1</v>
      </c>
      <c r="I75" s="141">
        <f t="shared" si="8"/>
        <v>8.14</v>
      </c>
      <c r="J75" s="141"/>
      <c r="K75" s="139">
        <f t="shared" si="6"/>
        <v>0</v>
      </c>
      <c r="L75" s="141"/>
      <c r="M75" s="139">
        <f t="shared" si="7"/>
        <v>0</v>
      </c>
      <c r="N75" s="142"/>
    </row>
    <row r="76" spans="1:14" ht="19.5" customHeight="1">
      <c r="A76" s="128">
        <v>72</v>
      </c>
      <c r="B76" s="130" t="s">
        <v>97</v>
      </c>
      <c r="C76" s="130" t="s">
        <v>39</v>
      </c>
      <c r="D76" s="135" t="s">
        <v>42</v>
      </c>
      <c r="E76" s="127" t="s">
        <v>21</v>
      </c>
      <c r="F76" s="134">
        <v>3700</v>
      </c>
      <c r="G76" s="134">
        <v>2800</v>
      </c>
      <c r="H76" s="134">
        <v>1</v>
      </c>
      <c r="I76" s="141">
        <f t="shared" si="8"/>
        <v>10.36</v>
      </c>
      <c r="J76" s="141"/>
      <c r="K76" s="139">
        <f t="shared" si="6"/>
        <v>0</v>
      </c>
      <c r="L76" s="141"/>
      <c r="M76" s="139">
        <f t="shared" si="7"/>
        <v>0</v>
      </c>
      <c r="N76" s="142"/>
    </row>
    <row r="77" spans="1:14" ht="19.5" customHeight="1">
      <c r="A77" s="128">
        <v>73</v>
      </c>
      <c r="B77" s="130" t="s">
        <v>98</v>
      </c>
      <c r="C77" s="130" t="s">
        <v>39</v>
      </c>
      <c r="D77" s="135" t="s">
        <v>42</v>
      </c>
      <c r="E77" s="127" t="s">
        <v>21</v>
      </c>
      <c r="F77" s="134">
        <v>3700</v>
      </c>
      <c r="G77" s="134">
        <v>3000</v>
      </c>
      <c r="H77" s="134">
        <v>1</v>
      </c>
      <c r="I77" s="141">
        <f t="shared" si="8"/>
        <v>11.1</v>
      </c>
      <c r="J77" s="141"/>
      <c r="K77" s="139">
        <f t="shared" si="6"/>
        <v>0</v>
      </c>
      <c r="L77" s="141"/>
      <c r="M77" s="139">
        <f t="shared" si="7"/>
        <v>0</v>
      </c>
      <c r="N77" s="142"/>
    </row>
    <row r="78" spans="1:14" ht="19.5" customHeight="1">
      <c r="A78" s="134">
        <v>74</v>
      </c>
      <c r="B78" s="130" t="s">
        <v>99</v>
      </c>
      <c r="C78" s="130" t="s">
        <v>39</v>
      </c>
      <c r="D78" s="135" t="s">
        <v>42</v>
      </c>
      <c r="E78" s="127" t="s">
        <v>21</v>
      </c>
      <c r="F78" s="134">
        <v>3800</v>
      </c>
      <c r="G78" s="134">
        <v>2200</v>
      </c>
      <c r="H78" s="134">
        <v>4</v>
      </c>
      <c r="I78" s="141">
        <f t="shared" si="8"/>
        <v>33.44</v>
      </c>
      <c r="J78" s="141"/>
      <c r="K78" s="139">
        <f t="shared" si="6"/>
        <v>0</v>
      </c>
      <c r="L78" s="141"/>
      <c r="M78" s="139">
        <f t="shared" si="7"/>
        <v>0</v>
      </c>
      <c r="N78" s="142"/>
    </row>
    <row r="79" spans="1:14" ht="19.5" customHeight="1">
      <c r="A79" s="128">
        <v>75</v>
      </c>
      <c r="B79" s="130" t="s">
        <v>100</v>
      </c>
      <c r="C79" s="130" t="s">
        <v>39</v>
      </c>
      <c r="D79" s="135" t="s">
        <v>42</v>
      </c>
      <c r="E79" s="127" t="s">
        <v>21</v>
      </c>
      <c r="F79" s="134">
        <v>3800</v>
      </c>
      <c r="G79" s="134">
        <v>2800</v>
      </c>
      <c r="H79" s="134">
        <v>2</v>
      </c>
      <c r="I79" s="141">
        <f aca="true" t="shared" si="9" ref="I79:I117">H79*G79*F79/1000000</f>
        <v>21.28</v>
      </c>
      <c r="J79" s="141"/>
      <c r="K79" s="139">
        <f t="shared" si="6"/>
        <v>0</v>
      </c>
      <c r="L79" s="141"/>
      <c r="M79" s="139">
        <f t="shared" si="7"/>
        <v>0</v>
      </c>
      <c r="N79" s="142"/>
    </row>
    <row r="80" spans="1:14" ht="19.5" customHeight="1">
      <c r="A80" s="128">
        <v>76</v>
      </c>
      <c r="B80" s="130" t="s">
        <v>101</v>
      </c>
      <c r="C80" s="130" t="s">
        <v>39</v>
      </c>
      <c r="D80" s="135" t="s">
        <v>42</v>
      </c>
      <c r="E80" s="127" t="s">
        <v>21</v>
      </c>
      <c r="F80" s="134">
        <v>5820</v>
      </c>
      <c r="G80" s="134">
        <v>3000</v>
      </c>
      <c r="H80" s="134">
        <v>1</v>
      </c>
      <c r="I80" s="141">
        <f t="shared" si="9"/>
        <v>17.46</v>
      </c>
      <c r="J80" s="141"/>
      <c r="K80" s="139">
        <f aca="true" t="shared" si="10" ref="K75:K106">I80*J80</f>
        <v>0</v>
      </c>
      <c r="L80" s="141"/>
      <c r="M80" s="139">
        <f aca="true" t="shared" si="11" ref="M74:M123">I80*L80</f>
        <v>0</v>
      </c>
      <c r="N80" s="142"/>
    </row>
    <row r="81" spans="1:14" ht="24.75" customHeight="1">
      <c r="A81" s="134">
        <v>77</v>
      </c>
      <c r="B81" s="130" t="s">
        <v>102</v>
      </c>
      <c r="C81" s="130" t="s">
        <v>39</v>
      </c>
      <c r="D81" s="135" t="s">
        <v>103</v>
      </c>
      <c r="E81" s="127" t="s">
        <v>21</v>
      </c>
      <c r="F81" s="134">
        <v>3900</v>
      </c>
      <c r="G81" s="134">
        <v>2100</v>
      </c>
      <c r="H81" s="134">
        <v>3</v>
      </c>
      <c r="I81" s="141">
        <f t="shared" si="9"/>
        <v>24.57</v>
      </c>
      <c r="J81" s="141"/>
      <c r="K81" s="139">
        <f t="shared" si="10"/>
        <v>0</v>
      </c>
      <c r="L81" s="141"/>
      <c r="M81" s="139">
        <f t="shared" si="11"/>
        <v>0</v>
      </c>
      <c r="N81" s="142"/>
    </row>
    <row r="82" spans="1:14" ht="19.5" customHeight="1">
      <c r="A82" s="128">
        <v>78</v>
      </c>
      <c r="B82" s="130" t="s">
        <v>104</v>
      </c>
      <c r="C82" s="130" t="s">
        <v>39</v>
      </c>
      <c r="D82" s="135" t="s">
        <v>42</v>
      </c>
      <c r="E82" s="127" t="s">
        <v>21</v>
      </c>
      <c r="F82" s="134">
        <v>3900</v>
      </c>
      <c r="G82" s="134">
        <v>4000</v>
      </c>
      <c r="H82" s="134">
        <v>1</v>
      </c>
      <c r="I82" s="141">
        <f t="shared" si="9"/>
        <v>15.6</v>
      </c>
      <c r="J82" s="141"/>
      <c r="K82" s="139">
        <f t="shared" si="10"/>
        <v>0</v>
      </c>
      <c r="L82" s="141"/>
      <c r="M82" s="139">
        <f t="shared" si="11"/>
        <v>0</v>
      </c>
      <c r="N82" s="142"/>
    </row>
    <row r="83" spans="1:14" ht="19.5" customHeight="1">
      <c r="A83" s="128">
        <v>79</v>
      </c>
      <c r="B83" s="130" t="s">
        <v>105</v>
      </c>
      <c r="C83" s="130" t="s">
        <v>39</v>
      </c>
      <c r="D83" s="135" t="s">
        <v>42</v>
      </c>
      <c r="E83" s="127" t="s">
        <v>21</v>
      </c>
      <c r="F83" s="134">
        <v>4050</v>
      </c>
      <c r="G83" s="134">
        <v>2100</v>
      </c>
      <c r="H83" s="134">
        <v>2</v>
      </c>
      <c r="I83" s="141">
        <f t="shared" si="9"/>
        <v>17.01</v>
      </c>
      <c r="J83" s="141"/>
      <c r="K83" s="139">
        <f t="shared" si="10"/>
        <v>0</v>
      </c>
      <c r="L83" s="141"/>
      <c r="M83" s="139">
        <f t="shared" si="11"/>
        <v>0</v>
      </c>
      <c r="N83" s="142"/>
    </row>
    <row r="84" spans="1:14" ht="19.5" customHeight="1">
      <c r="A84" s="134">
        <v>80</v>
      </c>
      <c r="B84" s="130" t="s">
        <v>106</v>
      </c>
      <c r="C84" s="130" t="s">
        <v>39</v>
      </c>
      <c r="D84" s="135" t="s">
        <v>42</v>
      </c>
      <c r="E84" s="127" t="s">
        <v>21</v>
      </c>
      <c r="F84" s="134">
        <v>4050</v>
      </c>
      <c r="G84" s="134">
        <v>4000</v>
      </c>
      <c r="H84" s="134">
        <v>1</v>
      </c>
      <c r="I84" s="141">
        <f t="shared" si="9"/>
        <v>16.2</v>
      </c>
      <c r="J84" s="141"/>
      <c r="K84" s="139">
        <f t="shared" si="10"/>
        <v>0</v>
      </c>
      <c r="L84" s="141"/>
      <c r="M84" s="139">
        <f t="shared" si="11"/>
        <v>0</v>
      </c>
      <c r="N84" s="142"/>
    </row>
    <row r="85" spans="1:14" ht="19.5" customHeight="1">
      <c r="A85" s="128">
        <v>81</v>
      </c>
      <c r="B85" s="130" t="s">
        <v>107</v>
      </c>
      <c r="C85" s="130" t="s">
        <v>39</v>
      </c>
      <c r="D85" s="135" t="s">
        <v>42</v>
      </c>
      <c r="E85" s="127" t="s">
        <v>21</v>
      </c>
      <c r="F85" s="134">
        <v>4870</v>
      </c>
      <c r="G85" s="134">
        <v>3000</v>
      </c>
      <c r="H85" s="134">
        <f>2+2</f>
        <v>4</v>
      </c>
      <c r="I85" s="141">
        <f t="shared" si="9"/>
        <v>58.44</v>
      </c>
      <c r="J85" s="141"/>
      <c r="K85" s="139">
        <f t="shared" si="10"/>
        <v>0</v>
      </c>
      <c r="L85" s="141"/>
      <c r="M85" s="139">
        <f t="shared" si="11"/>
        <v>0</v>
      </c>
      <c r="N85" s="142"/>
    </row>
    <row r="86" spans="1:14" ht="19.5" customHeight="1">
      <c r="A86" s="128">
        <v>82</v>
      </c>
      <c r="B86" s="130" t="s">
        <v>108</v>
      </c>
      <c r="C86" s="130" t="s">
        <v>39</v>
      </c>
      <c r="D86" s="135" t="s">
        <v>42</v>
      </c>
      <c r="E86" s="127" t="s">
        <v>21</v>
      </c>
      <c r="F86" s="134">
        <v>4920</v>
      </c>
      <c r="G86" s="134">
        <v>2200</v>
      </c>
      <c r="H86" s="134">
        <f>2-1</f>
        <v>1</v>
      </c>
      <c r="I86" s="141">
        <f t="shared" si="9"/>
        <v>10.824</v>
      </c>
      <c r="J86" s="141"/>
      <c r="K86" s="139">
        <f t="shared" si="10"/>
        <v>0</v>
      </c>
      <c r="L86" s="141"/>
      <c r="M86" s="139">
        <f t="shared" si="11"/>
        <v>0</v>
      </c>
      <c r="N86" s="142"/>
    </row>
    <row r="87" spans="1:14" ht="19.5" customHeight="1">
      <c r="A87" s="134">
        <v>83</v>
      </c>
      <c r="B87" s="130" t="s">
        <v>109</v>
      </c>
      <c r="C87" s="130" t="s">
        <v>39</v>
      </c>
      <c r="D87" s="135" t="s">
        <v>42</v>
      </c>
      <c r="E87" s="127" t="s">
        <v>21</v>
      </c>
      <c r="F87" s="134">
        <v>4950</v>
      </c>
      <c r="G87" s="134">
        <v>2200</v>
      </c>
      <c r="H87" s="134">
        <v>1</v>
      </c>
      <c r="I87" s="141">
        <f t="shared" si="9"/>
        <v>10.89</v>
      </c>
      <c r="J87" s="141"/>
      <c r="K87" s="139">
        <f t="shared" si="10"/>
        <v>0</v>
      </c>
      <c r="L87" s="141"/>
      <c r="M87" s="139">
        <f t="shared" si="11"/>
        <v>0</v>
      </c>
      <c r="N87" s="142"/>
    </row>
    <row r="88" spans="1:14" ht="19.5" customHeight="1">
      <c r="A88" s="128">
        <v>84</v>
      </c>
      <c r="B88" s="130" t="s">
        <v>110</v>
      </c>
      <c r="C88" s="130" t="s">
        <v>39</v>
      </c>
      <c r="D88" s="135" t="s">
        <v>67</v>
      </c>
      <c r="E88" s="127" t="s">
        <v>21</v>
      </c>
      <c r="F88" s="134">
        <v>6400</v>
      </c>
      <c r="G88" s="134">
        <v>800</v>
      </c>
      <c r="H88" s="134">
        <v>2</v>
      </c>
      <c r="I88" s="141">
        <f t="shared" si="9"/>
        <v>10.24</v>
      </c>
      <c r="J88" s="141"/>
      <c r="K88" s="139">
        <f t="shared" si="10"/>
        <v>0</v>
      </c>
      <c r="L88" s="141"/>
      <c r="M88" s="139">
        <f t="shared" si="11"/>
        <v>0</v>
      </c>
      <c r="N88" s="142"/>
    </row>
    <row r="89" spans="1:14" ht="19.5" customHeight="1">
      <c r="A89" s="128">
        <v>85</v>
      </c>
      <c r="B89" s="130" t="s">
        <v>111</v>
      </c>
      <c r="C89" s="130" t="s">
        <v>39</v>
      </c>
      <c r="D89" s="135" t="s">
        <v>67</v>
      </c>
      <c r="E89" s="127" t="s">
        <v>21</v>
      </c>
      <c r="F89" s="134">
        <v>6400</v>
      </c>
      <c r="G89" s="134">
        <v>2100</v>
      </c>
      <c r="H89" s="134">
        <v>2</v>
      </c>
      <c r="I89" s="141">
        <f t="shared" si="9"/>
        <v>26.88</v>
      </c>
      <c r="J89" s="141"/>
      <c r="K89" s="139">
        <f t="shared" si="10"/>
        <v>0</v>
      </c>
      <c r="L89" s="141"/>
      <c r="M89" s="139">
        <f t="shared" si="11"/>
        <v>0</v>
      </c>
      <c r="N89" s="142"/>
    </row>
    <row r="90" spans="1:14" ht="24" customHeight="1">
      <c r="A90" s="134">
        <v>86</v>
      </c>
      <c r="B90" s="130" t="s">
        <v>112</v>
      </c>
      <c r="C90" s="130" t="s">
        <v>113</v>
      </c>
      <c r="D90" s="135" t="s">
        <v>114</v>
      </c>
      <c r="E90" s="127" t="s">
        <v>21</v>
      </c>
      <c r="F90" s="134">
        <v>8000</v>
      </c>
      <c r="G90" s="134">
        <v>12850</v>
      </c>
      <c r="H90" s="134">
        <v>1</v>
      </c>
      <c r="I90" s="141">
        <f t="shared" si="9"/>
        <v>102.8</v>
      </c>
      <c r="J90" s="141"/>
      <c r="K90" s="139">
        <f t="shared" si="10"/>
        <v>0</v>
      </c>
      <c r="L90" s="141"/>
      <c r="M90" s="139">
        <f t="shared" si="11"/>
        <v>0</v>
      </c>
      <c r="N90" s="142"/>
    </row>
    <row r="91" spans="1:14" ht="19.5" customHeight="1">
      <c r="A91" s="128">
        <v>87</v>
      </c>
      <c r="B91" s="130" t="s">
        <v>115</v>
      </c>
      <c r="C91" s="130" t="s">
        <v>39</v>
      </c>
      <c r="D91" s="135" t="s">
        <v>42</v>
      </c>
      <c r="E91" s="127" t="s">
        <v>21</v>
      </c>
      <c r="F91" s="134">
        <v>2265</v>
      </c>
      <c r="G91" s="134">
        <v>2200</v>
      </c>
      <c r="H91" s="134">
        <v>10</v>
      </c>
      <c r="I91" s="141">
        <f t="shared" si="9"/>
        <v>49.83</v>
      </c>
      <c r="J91" s="141"/>
      <c r="K91" s="139">
        <f t="shared" si="10"/>
        <v>0</v>
      </c>
      <c r="L91" s="141"/>
      <c r="M91" s="139">
        <f t="shared" si="11"/>
        <v>0</v>
      </c>
      <c r="N91" s="142"/>
    </row>
    <row r="92" spans="1:14" ht="19.5" customHeight="1">
      <c r="A92" s="128">
        <v>88</v>
      </c>
      <c r="B92" s="130" t="s">
        <v>116</v>
      </c>
      <c r="C92" s="130" t="s">
        <v>39</v>
      </c>
      <c r="D92" s="135" t="s">
        <v>42</v>
      </c>
      <c r="E92" s="127" t="s">
        <v>21</v>
      </c>
      <c r="F92" s="134">
        <v>2260</v>
      </c>
      <c r="G92" s="134">
        <v>2200</v>
      </c>
      <c r="H92" s="134">
        <v>2</v>
      </c>
      <c r="I92" s="141">
        <f t="shared" si="9"/>
        <v>9.944</v>
      </c>
      <c r="J92" s="141"/>
      <c r="K92" s="139">
        <f t="shared" si="10"/>
        <v>0</v>
      </c>
      <c r="L92" s="141"/>
      <c r="M92" s="139">
        <f t="shared" si="11"/>
        <v>0</v>
      </c>
      <c r="N92" s="142"/>
    </row>
    <row r="93" spans="1:14" ht="19.5" customHeight="1">
      <c r="A93" s="134">
        <v>89</v>
      </c>
      <c r="B93" s="130" t="s">
        <v>116</v>
      </c>
      <c r="C93" s="130" t="s">
        <v>39</v>
      </c>
      <c r="D93" s="135" t="s">
        <v>42</v>
      </c>
      <c r="E93" s="127" t="s">
        <v>21</v>
      </c>
      <c r="F93" s="134">
        <v>2265</v>
      </c>
      <c r="G93" s="134">
        <v>2200</v>
      </c>
      <c r="H93" s="134">
        <v>8</v>
      </c>
      <c r="I93" s="141">
        <f t="shared" si="9"/>
        <v>39.864</v>
      </c>
      <c r="J93" s="141"/>
      <c r="K93" s="139">
        <f t="shared" si="10"/>
        <v>0</v>
      </c>
      <c r="L93" s="141"/>
      <c r="M93" s="139">
        <f t="shared" si="11"/>
        <v>0</v>
      </c>
      <c r="N93" s="142"/>
    </row>
    <row r="94" spans="1:14" ht="19.5" customHeight="1">
      <c r="A94" s="128">
        <v>90</v>
      </c>
      <c r="B94" s="130" t="s">
        <v>117</v>
      </c>
      <c r="C94" s="130" t="s">
        <v>39</v>
      </c>
      <c r="D94" s="135" t="s">
        <v>42</v>
      </c>
      <c r="E94" s="127" t="s">
        <v>21</v>
      </c>
      <c r="F94" s="134">
        <v>2260</v>
      </c>
      <c r="G94" s="134">
        <v>2800</v>
      </c>
      <c r="H94" s="134">
        <v>2</v>
      </c>
      <c r="I94" s="141">
        <f t="shared" si="9"/>
        <v>12.656</v>
      </c>
      <c r="J94" s="141"/>
      <c r="K94" s="139">
        <f t="shared" si="10"/>
        <v>0</v>
      </c>
      <c r="L94" s="141"/>
      <c r="M94" s="139">
        <f t="shared" si="11"/>
        <v>0</v>
      </c>
      <c r="N94" s="142"/>
    </row>
    <row r="95" spans="1:14" ht="19.5" customHeight="1">
      <c r="A95" s="128">
        <v>91</v>
      </c>
      <c r="B95" s="130" t="s">
        <v>117</v>
      </c>
      <c r="C95" s="130" t="s">
        <v>39</v>
      </c>
      <c r="D95" s="135" t="s">
        <v>42</v>
      </c>
      <c r="E95" s="127" t="s">
        <v>21</v>
      </c>
      <c r="F95" s="134">
        <v>2265</v>
      </c>
      <c r="G95" s="134">
        <v>2800</v>
      </c>
      <c r="H95" s="134">
        <v>8</v>
      </c>
      <c r="I95" s="141">
        <f t="shared" si="9"/>
        <v>50.736</v>
      </c>
      <c r="J95" s="141"/>
      <c r="K95" s="139">
        <f t="shared" si="10"/>
        <v>0</v>
      </c>
      <c r="L95" s="141"/>
      <c r="M95" s="139">
        <f t="shared" si="11"/>
        <v>0</v>
      </c>
      <c r="N95" s="142"/>
    </row>
    <row r="96" spans="1:14" ht="19.5" customHeight="1">
      <c r="A96" s="134">
        <v>92</v>
      </c>
      <c r="B96" s="130" t="s">
        <v>118</v>
      </c>
      <c r="C96" s="130" t="s">
        <v>39</v>
      </c>
      <c r="D96" s="135" t="s">
        <v>42</v>
      </c>
      <c r="E96" s="127" t="s">
        <v>21</v>
      </c>
      <c r="F96" s="134">
        <v>2265</v>
      </c>
      <c r="G96" s="134">
        <v>3000</v>
      </c>
      <c r="H96" s="134">
        <v>10</v>
      </c>
      <c r="I96" s="141">
        <f t="shared" si="9"/>
        <v>67.95</v>
      </c>
      <c r="J96" s="141"/>
      <c r="K96" s="139">
        <f t="shared" si="10"/>
        <v>0</v>
      </c>
      <c r="L96" s="141"/>
      <c r="M96" s="139">
        <f t="shared" si="11"/>
        <v>0</v>
      </c>
      <c r="N96" s="142"/>
    </row>
    <row r="97" spans="1:14" ht="19.5" customHeight="1">
      <c r="A97" s="128">
        <v>93</v>
      </c>
      <c r="B97" s="130" t="s">
        <v>119</v>
      </c>
      <c r="C97" s="130" t="s">
        <v>39</v>
      </c>
      <c r="D97" s="135" t="s">
        <v>42</v>
      </c>
      <c r="E97" s="127" t="s">
        <v>21</v>
      </c>
      <c r="F97" s="134">
        <v>3080</v>
      </c>
      <c r="G97" s="134">
        <v>2100</v>
      </c>
      <c r="H97" s="134">
        <v>2</v>
      </c>
      <c r="I97" s="141">
        <f t="shared" si="9"/>
        <v>12.936</v>
      </c>
      <c r="J97" s="141"/>
      <c r="K97" s="139">
        <f t="shared" si="10"/>
        <v>0</v>
      </c>
      <c r="L97" s="141"/>
      <c r="M97" s="139">
        <f t="shared" si="11"/>
        <v>0</v>
      </c>
      <c r="N97" s="142"/>
    </row>
    <row r="98" spans="1:14" ht="19.5" customHeight="1">
      <c r="A98" s="128">
        <v>94</v>
      </c>
      <c r="B98" s="130" t="s">
        <v>120</v>
      </c>
      <c r="C98" s="130" t="s">
        <v>39</v>
      </c>
      <c r="D98" s="135" t="s">
        <v>42</v>
      </c>
      <c r="E98" s="127" t="s">
        <v>21</v>
      </c>
      <c r="F98" s="134">
        <v>3080</v>
      </c>
      <c r="G98" s="134">
        <v>4000</v>
      </c>
      <c r="H98" s="134">
        <v>1</v>
      </c>
      <c r="I98" s="141">
        <f t="shared" si="9"/>
        <v>12.32</v>
      </c>
      <c r="J98" s="141"/>
      <c r="K98" s="139">
        <f t="shared" si="10"/>
        <v>0</v>
      </c>
      <c r="L98" s="141"/>
      <c r="M98" s="139">
        <f t="shared" si="11"/>
        <v>0</v>
      </c>
      <c r="N98" s="142"/>
    </row>
    <row r="99" spans="1:14" ht="19.5" customHeight="1">
      <c r="A99" s="134">
        <v>95</v>
      </c>
      <c r="B99" s="130" t="s">
        <v>121</v>
      </c>
      <c r="C99" s="130" t="s">
        <v>39</v>
      </c>
      <c r="D99" s="135" t="s">
        <v>42</v>
      </c>
      <c r="E99" s="127" t="s">
        <v>21</v>
      </c>
      <c r="F99" s="134">
        <v>3220</v>
      </c>
      <c r="G99" s="134">
        <v>2200</v>
      </c>
      <c r="H99" s="134">
        <v>4</v>
      </c>
      <c r="I99" s="141">
        <f t="shared" si="9"/>
        <v>28.336</v>
      </c>
      <c r="J99" s="141"/>
      <c r="K99" s="139">
        <f t="shared" si="10"/>
        <v>0</v>
      </c>
      <c r="L99" s="141"/>
      <c r="M99" s="139">
        <f t="shared" si="11"/>
        <v>0</v>
      </c>
      <c r="N99" s="142"/>
    </row>
    <row r="100" spans="1:14" ht="19.5" customHeight="1">
      <c r="A100" s="128">
        <v>96</v>
      </c>
      <c r="B100" s="130" t="s">
        <v>122</v>
      </c>
      <c r="C100" s="130" t="s">
        <v>39</v>
      </c>
      <c r="D100" s="135" t="s">
        <v>42</v>
      </c>
      <c r="E100" s="127" t="s">
        <v>21</v>
      </c>
      <c r="F100" s="134">
        <v>3220</v>
      </c>
      <c r="G100" s="134">
        <v>2200</v>
      </c>
      <c r="H100" s="134">
        <v>4</v>
      </c>
      <c r="I100" s="141">
        <f t="shared" si="9"/>
        <v>28.336</v>
      </c>
      <c r="J100" s="141"/>
      <c r="K100" s="139">
        <f t="shared" si="10"/>
        <v>0</v>
      </c>
      <c r="L100" s="141"/>
      <c r="M100" s="139">
        <f t="shared" si="11"/>
        <v>0</v>
      </c>
      <c r="N100" s="142"/>
    </row>
    <row r="101" spans="1:14" ht="19.5" customHeight="1">
      <c r="A101" s="128">
        <v>97</v>
      </c>
      <c r="B101" s="130" t="s">
        <v>123</v>
      </c>
      <c r="C101" s="130" t="s">
        <v>39</v>
      </c>
      <c r="D101" s="135" t="s">
        <v>42</v>
      </c>
      <c r="E101" s="127" t="s">
        <v>21</v>
      </c>
      <c r="F101" s="134">
        <v>3220</v>
      </c>
      <c r="G101" s="134">
        <v>2800</v>
      </c>
      <c r="H101" s="134">
        <v>4</v>
      </c>
      <c r="I101" s="141">
        <f t="shared" si="9"/>
        <v>36.064</v>
      </c>
      <c r="J101" s="141"/>
      <c r="K101" s="139">
        <f t="shared" si="10"/>
        <v>0</v>
      </c>
      <c r="L101" s="141"/>
      <c r="M101" s="139">
        <f t="shared" si="11"/>
        <v>0</v>
      </c>
      <c r="N101" s="142"/>
    </row>
    <row r="102" spans="1:14" ht="19.5" customHeight="1">
      <c r="A102" s="134">
        <v>98</v>
      </c>
      <c r="B102" s="130" t="s">
        <v>124</v>
      </c>
      <c r="C102" s="130" t="s">
        <v>39</v>
      </c>
      <c r="D102" s="135" t="s">
        <v>42</v>
      </c>
      <c r="E102" s="127" t="s">
        <v>21</v>
      </c>
      <c r="F102" s="134">
        <v>3220</v>
      </c>
      <c r="G102" s="134">
        <v>3000</v>
      </c>
      <c r="H102" s="134">
        <v>4</v>
      </c>
      <c r="I102" s="141">
        <f t="shared" si="9"/>
        <v>38.64</v>
      </c>
      <c r="J102" s="141"/>
      <c r="K102" s="139">
        <f t="shared" si="10"/>
        <v>0</v>
      </c>
      <c r="L102" s="141"/>
      <c r="M102" s="139">
        <f t="shared" si="11"/>
        <v>0</v>
      </c>
      <c r="N102" s="142"/>
    </row>
    <row r="103" spans="1:14" ht="19.5" customHeight="1">
      <c r="A103" s="128">
        <v>99</v>
      </c>
      <c r="B103" s="130" t="s">
        <v>125</v>
      </c>
      <c r="C103" s="130" t="s">
        <v>39</v>
      </c>
      <c r="D103" s="135" t="s">
        <v>42</v>
      </c>
      <c r="E103" s="127" t="s">
        <v>21</v>
      </c>
      <c r="F103" s="134">
        <v>2270</v>
      </c>
      <c r="G103" s="134">
        <v>2200</v>
      </c>
      <c r="H103" s="134">
        <v>10</v>
      </c>
      <c r="I103" s="141">
        <f t="shared" si="9"/>
        <v>49.94</v>
      </c>
      <c r="J103" s="141"/>
      <c r="K103" s="139">
        <f t="shared" si="10"/>
        <v>0</v>
      </c>
      <c r="L103" s="141"/>
      <c r="M103" s="139">
        <f t="shared" si="11"/>
        <v>0</v>
      </c>
      <c r="N103" s="142"/>
    </row>
    <row r="104" spans="1:14" ht="19.5" customHeight="1">
      <c r="A104" s="128">
        <v>100</v>
      </c>
      <c r="B104" s="130" t="s">
        <v>126</v>
      </c>
      <c r="C104" s="130" t="s">
        <v>39</v>
      </c>
      <c r="D104" s="135" t="s">
        <v>42</v>
      </c>
      <c r="E104" s="127" t="s">
        <v>21</v>
      </c>
      <c r="F104" s="134">
        <v>2265</v>
      </c>
      <c r="G104" s="134">
        <v>2200</v>
      </c>
      <c r="H104" s="134">
        <v>2</v>
      </c>
      <c r="I104" s="141">
        <f t="shared" si="9"/>
        <v>9.966</v>
      </c>
      <c r="J104" s="141"/>
      <c r="K104" s="139">
        <f t="shared" si="10"/>
        <v>0</v>
      </c>
      <c r="L104" s="141"/>
      <c r="M104" s="139">
        <f t="shared" si="11"/>
        <v>0</v>
      </c>
      <c r="N104" s="142"/>
    </row>
    <row r="105" spans="1:14" ht="19.5" customHeight="1">
      <c r="A105" s="134">
        <v>101</v>
      </c>
      <c r="B105" s="130" t="s">
        <v>126</v>
      </c>
      <c r="C105" s="130" t="s">
        <v>39</v>
      </c>
      <c r="D105" s="135" t="s">
        <v>42</v>
      </c>
      <c r="E105" s="127" t="s">
        <v>21</v>
      </c>
      <c r="F105" s="134">
        <v>2270</v>
      </c>
      <c r="G105" s="134">
        <v>2200</v>
      </c>
      <c r="H105" s="134">
        <v>8</v>
      </c>
      <c r="I105" s="141">
        <f t="shared" si="9"/>
        <v>39.952</v>
      </c>
      <c r="J105" s="141"/>
      <c r="K105" s="139">
        <f t="shared" si="10"/>
        <v>0</v>
      </c>
      <c r="L105" s="141"/>
      <c r="M105" s="139">
        <f t="shared" si="11"/>
        <v>0</v>
      </c>
      <c r="N105" s="142"/>
    </row>
    <row r="106" spans="1:14" ht="19.5" customHeight="1">
      <c r="A106" s="128">
        <v>102</v>
      </c>
      <c r="B106" s="130" t="s">
        <v>127</v>
      </c>
      <c r="C106" s="130" t="s">
        <v>39</v>
      </c>
      <c r="D106" s="135" t="s">
        <v>42</v>
      </c>
      <c r="E106" s="127" t="s">
        <v>21</v>
      </c>
      <c r="F106" s="134">
        <v>2265</v>
      </c>
      <c r="G106" s="134">
        <v>2800</v>
      </c>
      <c r="H106" s="134">
        <v>2</v>
      </c>
      <c r="I106" s="141">
        <f t="shared" si="9"/>
        <v>12.684</v>
      </c>
      <c r="J106" s="141"/>
      <c r="K106" s="139">
        <f t="shared" si="10"/>
        <v>0</v>
      </c>
      <c r="L106" s="141"/>
      <c r="M106" s="139">
        <f t="shared" si="11"/>
        <v>0</v>
      </c>
      <c r="N106" s="142"/>
    </row>
    <row r="107" spans="1:14" ht="19.5" customHeight="1">
      <c r="A107" s="128">
        <v>103</v>
      </c>
      <c r="B107" s="130" t="s">
        <v>127</v>
      </c>
      <c r="C107" s="130" t="s">
        <v>39</v>
      </c>
      <c r="D107" s="135" t="s">
        <v>42</v>
      </c>
      <c r="E107" s="127" t="s">
        <v>21</v>
      </c>
      <c r="F107" s="134">
        <v>2270</v>
      </c>
      <c r="G107" s="134">
        <v>2800</v>
      </c>
      <c r="H107" s="134">
        <v>8</v>
      </c>
      <c r="I107" s="141">
        <f t="shared" si="9"/>
        <v>50.848</v>
      </c>
      <c r="J107" s="141"/>
      <c r="K107" s="139">
        <f aca="true" t="shared" si="12" ref="K107:K123">I107*J107</f>
        <v>0</v>
      </c>
      <c r="L107" s="141"/>
      <c r="M107" s="139">
        <f t="shared" si="11"/>
        <v>0</v>
      </c>
      <c r="N107" s="142"/>
    </row>
    <row r="108" spans="1:14" ht="19.5" customHeight="1">
      <c r="A108" s="134">
        <v>104</v>
      </c>
      <c r="B108" s="130" t="s">
        <v>128</v>
      </c>
      <c r="C108" s="130" t="s">
        <v>39</v>
      </c>
      <c r="D108" s="135" t="s">
        <v>42</v>
      </c>
      <c r="E108" s="127" t="s">
        <v>21</v>
      </c>
      <c r="F108" s="134">
        <v>2270</v>
      </c>
      <c r="G108" s="134">
        <v>3000</v>
      </c>
      <c r="H108" s="134">
        <v>8</v>
      </c>
      <c r="I108" s="141">
        <f t="shared" si="9"/>
        <v>54.48</v>
      </c>
      <c r="J108" s="141"/>
      <c r="K108" s="139">
        <f t="shared" si="12"/>
        <v>0</v>
      </c>
      <c r="L108" s="141"/>
      <c r="M108" s="139">
        <f t="shared" si="11"/>
        <v>0</v>
      </c>
      <c r="N108" s="142"/>
    </row>
    <row r="109" spans="1:14" ht="19.5" customHeight="1">
      <c r="A109" s="128">
        <v>105</v>
      </c>
      <c r="B109" s="130" t="s">
        <v>129</v>
      </c>
      <c r="C109" s="130" t="s">
        <v>39</v>
      </c>
      <c r="D109" s="135" t="s">
        <v>42</v>
      </c>
      <c r="E109" s="127" t="s">
        <v>21</v>
      </c>
      <c r="F109" s="134">
        <v>3230</v>
      </c>
      <c r="G109" s="134">
        <v>2200</v>
      </c>
      <c r="H109" s="134">
        <v>2</v>
      </c>
      <c r="I109" s="141">
        <f t="shared" si="9"/>
        <v>14.212</v>
      </c>
      <c r="J109" s="141"/>
      <c r="K109" s="139">
        <f t="shared" si="12"/>
        <v>0</v>
      </c>
      <c r="L109" s="141"/>
      <c r="M109" s="139">
        <f t="shared" si="11"/>
        <v>0</v>
      </c>
      <c r="N109" s="142"/>
    </row>
    <row r="110" spans="1:14" ht="19.5" customHeight="1">
      <c r="A110" s="128">
        <v>106</v>
      </c>
      <c r="B110" s="130" t="s">
        <v>130</v>
      </c>
      <c r="C110" s="130" t="s">
        <v>39</v>
      </c>
      <c r="D110" s="135" t="s">
        <v>42</v>
      </c>
      <c r="E110" s="127" t="s">
        <v>21</v>
      </c>
      <c r="F110" s="134">
        <v>3230</v>
      </c>
      <c r="G110" s="134">
        <v>2200</v>
      </c>
      <c r="H110" s="134">
        <v>2</v>
      </c>
      <c r="I110" s="141">
        <f t="shared" si="9"/>
        <v>14.212</v>
      </c>
      <c r="J110" s="141"/>
      <c r="K110" s="139">
        <f t="shared" si="12"/>
        <v>0</v>
      </c>
      <c r="L110" s="141"/>
      <c r="M110" s="139">
        <f t="shared" si="11"/>
        <v>0</v>
      </c>
      <c r="N110" s="142"/>
    </row>
    <row r="111" spans="1:14" ht="19.5" customHeight="1">
      <c r="A111" s="134">
        <v>107</v>
      </c>
      <c r="B111" s="130" t="s">
        <v>131</v>
      </c>
      <c r="C111" s="130" t="s">
        <v>39</v>
      </c>
      <c r="D111" s="135" t="s">
        <v>42</v>
      </c>
      <c r="E111" s="127" t="s">
        <v>21</v>
      </c>
      <c r="F111" s="134">
        <v>3230</v>
      </c>
      <c r="G111" s="134">
        <v>2800</v>
      </c>
      <c r="H111" s="134">
        <v>2</v>
      </c>
      <c r="I111" s="141">
        <f t="shared" si="9"/>
        <v>18.088</v>
      </c>
      <c r="J111" s="141"/>
      <c r="K111" s="139">
        <f t="shared" si="12"/>
        <v>0</v>
      </c>
      <c r="L111" s="141"/>
      <c r="M111" s="139">
        <f t="shared" si="11"/>
        <v>0</v>
      </c>
      <c r="N111" s="142"/>
    </row>
    <row r="112" spans="1:14" ht="19.5" customHeight="1">
      <c r="A112" s="128">
        <v>108</v>
      </c>
      <c r="B112" s="130" t="s">
        <v>132</v>
      </c>
      <c r="C112" s="130" t="s">
        <v>39</v>
      </c>
      <c r="D112" s="135" t="s">
        <v>42</v>
      </c>
      <c r="E112" s="127" t="s">
        <v>21</v>
      </c>
      <c r="F112" s="134">
        <v>3230</v>
      </c>
      <c r="G112" s="134">
        <v>3000</v>
      </c>
      <c r="H112" s="134">
        <v>2</v>
      </c>
      <c r="I112" s="141">
        <f t="shared" si="9"/>
        <v>19.38</v>
      </c>
      <c r="J112" s="141"/>
      <c r="K112" s="139">
        <f t="shared" si="12"/>
        <v>0</v>
      </c>
      <c r="L112" s="141"/>
      <c r="M112" s="139">
        <f t="shared" si="11"/>
        <v>0</v>
      </c>
      <c r="N112" s="142"/>
    </row>
    <row r="113" spans="1:14" ht="19.5" customHeight="1">
      <c r="A113" s="128">
        <v>109</v>
      </c>
      <c r="B113" s="130" t="s">
        <v>133</v>
      </c>
      <c r="C113" s="130" t="s">
        <v>39</v>
      </c>
      <c r="D113" s="135" t="s">
        <v>42</v>
      </c>
      <c r="E113" s="127" t="s">
        <v>21</v>
      </c>
      <c r="F113" s="134">
        <v>2000</v>
      </c>
      <c r="G113" s="134">
        <v>2100</v>
      </c>
      <c r="H113" s="134">
        <v>1</v>
      </c>
      <c r="I113" s="141">
        <f t="shared" si="9"/>
        <v>4.2</v>
      </c>
      <c r="J113" s="141"/>
      <c r="K113" s="139">
        <f t="shared" si="12"/>
        <v>0</v>
      </c>
      <c r="L113" s="141"/>
      <c r="M113" s="139">
        <f t="shared" si="11"/>
        <v>0</v>
      </c>
      <c r="N113" s="142"/>
    </row>
    <row r="114" spans="1:14" ht="19.5" customHeight="1">
      <c r="A114" s="134">
        <v>110</v>
      </c>
      <c r="B114" s="130" t="s">
        <v>134</v>
      </c>
      <c r="C114" s="130" t="s">
        <v>39</v>
      </c>
      <c r="D114" s="135" t="s">
        <v>42</v>
      </c>
      <c r="E114" s="127" t="s">
        <v>21</v>
      </c>
      <c r="F114" s="134">
        <v>1600</v>
      </c>
      <c r="G114" s="134">
        <v>2100</v>
      </c>
      <c r="H114" s="134">
        <v>1</v>
      </c>
      <c r="I114" s="141">
        <f t="shared" si="9"/>
        <v>3.36</v>
      </c>
      <c r="J114" s="141"/>
      <c r="K114" s="139">
        <f t="shared" si="12"/>
        <v>0</v>
      </c>
      <c r="L114" s="141"/>
      <c r="M114" s="139">
        <f t="shared" si="11"/>
        <v>0</v>
      </c>
      <c r="N114" s="142"/>
    </row>
    <row r="115" spans="1:14" ht="19.5" customHeight="1">
      <c r="A115" s="128">
        <v>111</v>
      </c>
      <c r="B115" s="130" t="s">
        <v>135</v>
      </c>
      <c r="C115" s="130" t="s">
        <v>39</v>
      </c>
      <c r="D115" s="135" t="s">
        <v>42</v>
      </c>
      <c r="E115" s="127" t="s">
        <v>136</v>
      </c>
      <c r="F115" s="134">
        <v>2400</v>
      </c>
      <c r="G115" s="134">
        <v>1200</v>
      </c>
      <c r="H115" s="134">
        <v>102</v>
      </c>
      <c r="I115" s="141">
        <f t="shared" si="9"/>
        <v>293.76</v>
      </c>
      <c r="J115" s="141"/>
      <c r="K115" s="139">
        <f t="shared" si="12"/>
        <v>0</v>
      </c>
      <c r="L115" s="141"/>
      <c r="M115" s="139">
        <f t="shared" si="11"/>
        <v>0</v>
      </c>
      <c r="N115" s="142"/>
    </row>
    <row r="116" spans="1:14" ht="24" customHeight="1">
      <c r="A116" s="128">
        <v>112</v>
      </c>
      <c r="B116" s="130" t="s">
        <v>135</v>
      </c>
      <c r="C116" s="130" t="s">
        <v>137</v>
      </c>
      <c r="D116" s="135" t="s">
        <v>138</v>
      </c>
      <c r="E116" s="127" t="s">
        <v>136</v>
      </c>
      <c r="F116" s="134">
        <v>2400</v>
      </c>
      <c r="G116" s="134">
        <v>1200</v>
      </c>
      <c r="H116" s="134">
        <v>7</v>
      </c>
      <c r="I116" s="141">
        <f t="shared" si="9"/>
        <v>20.16</v>
      </c>
      <c r="J116" s="141"/>
      <c r="K116" s="139">
        <f aca="true" t="shared" si="13" ref="K116:K124">I116*J116</f>
        <v>0</v>
      </c>
      <c r="L116" s="141"/>
      <c r="M116" s="139">
        <f aca="true" t="shared" si="14" ref="M116:M124">I116*L116</f>
        <v>0</v>
      </c>
      <c r="N116" s="142"/>
    </row>
    <row r="117" spans="1:14" ht="19.5" customHeight="1">
      <c r="A117" s="134">
        <v>113</v>
      </c>
      <c r="B117" s="130" t="s">
        <v>35</v>
      </c>
      <c r="C117" s="130" t="s">
        <v>39</v>
      </c>
      <c r="D117" s="135" t="s">
        <v>32</v>
      </c>
      <c r="E117" s="127" t="s">
        <v>21</v>
      </c>
      <c r="F117" s="134">
        <v>8000</v>
      </c>
      <c r="G117" s="134">
        <v>3600</v>
      </c>
      <c r="H117" s="134">
        <v>1</v>
      </c>
      <c r="I117" s="141">
        <f t="shared" si="9"/>
        <v>28.8</v>
      </c>
      <c r="J117" s="141"/>
      <c r="K117" s="139">
        <f t="shared" si="13"/>
        <v>0</v>
      </c>
      <c r="L117" s="141"/>
      <c r="M117" s="139">
        <f t="shared" si="14"/>
        <v>0</v>
      </c>
      <c r="N117" s="142"/>
    </row>
    <row r="118" spans="1:14" ht="19.5" customHeight="1">
      <c r="A118" s="128">
        <v>114</v>
      </c>
      <c r="B118" s="130" t="s">
        <v>139</v>
      </c>
      <c r="C118" s="130" t="s">
        <v>39</v>
      </c>
      <c r="D118" s="135" t="s">
        <v>42</v>
      </c>
      <c r="E118" s="127" t="s">
        <v>21</v>
      </c>
      <c r="F118" s="134">
        <v>3400</v>
      </c>
      <c r="G118" s="134">
        <v>3000</v>
      </c>
      <c r="H118" s="134">
        <v>1</v>
      </c>
      <c r="I118" s="141">
        <f aca="true" t="shared" si="15" ref="I118:I124">H118*G118*F118/1000000</f>
        <v>10.2</v>
      </c>
      <c r="J118" s="141"/>
      <c r="K118" s="139">
        <f t="shared" si="13"/>
        <v>0</v>
      </c>
      <c r="L118" s="141"/>
      <c r="M118" s="139">
        <f t="shared" si="14"/>
        <v>0</v>
      </c>
      <c r="N118" s="142"/>
    </row>
    <row r="119" spans="1:14" ht="19.5" customHeight="1">
      <c r="A119" s="128">
        <v>115</v>
      </c>
      <c r="B119" s="130" t="s">
        <v>140</v>
      </c>
      <c r="C119" s="130" t="s">
        <v>39</v>
      </c>
      <c r="D119" s="135" t="s">
        <v>42</v>
      </c>
      <c r="E119" s="127" t="s">
        <v>21</v>
      </c>
      <c r="F119" s="134">
        <v>2900</v>
      </c>
      <c r="G119" s="134">
        <v>3000</v>
      </c>
      <c r="H119" s="134">
        <v>1</v>
      </c>
      <c r="I119" s="141">
        <f t="shared" si="15"/>
        <v>8.7</v>
      </c>
      <c r="J119" s="141"/>
      <c r="K119" s="139">
        <f t="shared" si="13"/>
        <v>0</v>
      </c>
      <c r="L119" s="141"/>
      <c r="M119" s="139">
        <f t="shared" si="14"/>
        <v>0</v>
      </c>
      <c r="N119" s="142"/>
    </row>
    <row r="120" spans="1:14" ht="19.5" customHeight="1">
      <c r="A120" s="134">
        <v>116</v>
      </c>
      <c r="B120" s="130" t="s">
        <v>141</v>
      </c>
      <c r="C120" s="130" t="s">
        <v>39</v>
      </c>
      <c r="D120" s="135" t="s">
        <v>42</v>
      </c>
      <c r="E120" s="127" t="s">
        <v>21</v>
      </c>
      <c r="F120" s="134">
        <v>3400</v>
      </c>
      <c r="G120" s="134">
        <v>2800</v>
      </c>
      <c r="H120" s="134">
        <v>1</v>
      </c>
      <c r="I120" s="141">
        <f t="shared" si="15"/>
        <v>9.52</v>
      </c>
      <c r="J120" s="141"/>
      <c r="K120" s="139">
        <f t="shared" si="13"/>
        <v>0</v>
      </c>
      <c r="L120" s="141"/>
      <c r="M120" s="139">
        <f t="shared" si="14"/>
        <v>0</v>
      </c>
      <c r="N120" s="142"/>
    </row>
    <row r="121" spans="1:14" ht="19.5" customHeight="1">
      <c r="A121" s="128">
        <v>117</v>
      </c>
      <c r="B121" s="130" t="s">
        <v>142</v>
      </c>
      <c r="C121" s="130" t="s">
        <v>39</v>
      </c>
      <c r="D121" s="135" t="s">
        <v>42</v>
      </c>
      <c r="E121" s="127" t="s">
        <v>21</v>
      </c>
      <c r="F121" s="134">
        <v>2900</v>
      </c>
      <c r="G121" s="134">
        <v>2800</v>
      </c>
      <c r="H121" s="134">
        <v>1</v>
      </c>
      <c r="I121" s="141">
        <f t="shared" si="15"/>
        <v>8.12</v>
      </c>
      <c r="J121" s="141"/>
      <c r="K121" s="139">
        <f t="shared" si="13"/>
        <v>0</v>
      </c>
      <c r="L121" s="141"/>
      <c r="M121" s="139">
        <f t="shared" si="14"/>
        <v>0</v>
      </c>
      <c r="N121" s="142"/>
    </row>
    <row r="122" spans="1:14" ht="19.5" customHeight="1">
      <c r="A122" s="128">
        <v>118</v>
      </c>
      <c r="B122" s="130" t="s">
        <v>143</v>
      </c>
      <c r="C122" s="130" t="s">
        <v>39</v>
      </c>
      <c r="D122" s="135" t="s">
        <v>42</v>
      </c>
      <c r="E122" s="127" t="s">
        <v>21</v>
      </c>
      <c r="F122" s="134">
        <v>2900</v>
      </c>
      <c r="G122" s="134">
        <v>2200</v>
      </c>
      <c r="H122" s="134">
        <v>1</v>
      </c>
      <c r="I122" s="141">
        <f t="shared" si="15"/>
        <v>6.38</v>
      </c>
      <c r="J122" s="141"/>
      <c r="K122" s="139">
        <f t="shared" si="13"/>
        <v>0</v>
      </c>
      <c r="L122" s="141"/>
      <c r="M122" s="139">
        <f t="shared" si="14"/>
        <v>0</v>
      </c>
      <c r="N122" s="142"/>
    </row>
    <row r="123" spans="1:14" ht="19.5" customHeight="1">
      <c r="A123" s="134">
        <v>119</v>
      </c>
      <c r="B123" s="130" t="s">
        <v>144</v>
      </c>
      <c r="C123" s="130" t="s">
        <v>39</v>
      </c>
      <c r="D123" s="135" t="s">
        <v>42</v>
      </c>
      <c r="E123" s="127" t="s">
        <v>21</v>
      </c>
      <c r="F123" s="134">
        <v>3400</v>
      </c>
      <c r="G123" s="134">
        <v>2200</v>
      </c>
      <c r="H123" s="134">
        <v>1</v>
      </c>
      <c r="I123" s="141">
        <f t="shared" si="15"/>
        <v>7.48</v>
      </c>
      <c r="J123" s="141"/>
      <c r="K123" s="139">
        <f t="shared" si="13"/>
        <v>0</v>
      </c>
      <c r="L123" s="141"/>
      <c r="M123" s="139">
        <f t="shared" si="14"/>
        <v>0</v>
      </c>
      <c r="N123" s="142"/>
    </row>
    <row r="124" spans="1:14" ht="19.5" customHeight="1">
      <c r="A124" s="128">
        <v>120</v>
      </c>
      <c r="B124" s="130" t="s">
        <v>145</v>
      </c>
      <c r="C124" s="130" t="s">
        <v>39</v>
      </c>
      <c r="D124" s="135" t="s">
        <v>42</v>
      </c>
      <c r="E124" s="127" t="s">
        <v>21</v>
      </c>
      <c r="F124" s="134">
        <v>2900</v>
      </c>
      <c r="G124" s="134">
        <v>2200</v>
      </c>
      <c r="H124" s="134">
        <v>1</v>
      </c>
      <c r="I124" s="141">
        <f t="shared" si="15"/>
        <v>6.38</v>
      </c>
      <c r="J124" s="141"/>
      <c r="K124" s="139">
        <f t="shared" si="13"/>
        <v>0</v>
      </c>
      <c r="L124" s="141"/>
      <c r="M124" s="139">
        <f t="shared" si="14"/>
        <v>0</v>
      </c>
      <c r="N124" s="142"/>
    </row>
    <row r="125" spans="1:14" ht="19.5" customHeight="1">
      <c r="A125" s="130" t="s">
        <v>146</v>
      </c>
      <c r="B125" s="134"/>
      <c r="C125" s="134"/>
      <c r="D125" s="142"/>
      <c r="E125" s="134"/>
      <c r="F125" s="134"/>
      <c r="G125" s="134"/>
      <c r="H125" s="134">
        <f>SUM(H5:H124)</f>
        <v>530</v>
      </c>
      <c r="I125" s="141">
        <f>SUM(I5:I124)</f>
        <v>3370.1719999999987</v>
      </c>
      <c r="J125" s="141"/>
      <c r="K125" s="141">
        <f>SUM(K5:K124)</f>
        <v>0</v>
      </c>
      <c r="L125" s="141"/>
      <c r="M125" s="141">
        <f>SUM(M5:M124)</f>
        <v>0</v>
      </c>
      <c r="N125" s="142"/>
    </row>
    <row r="126" spans="1:14" ht="19.5" customHeight="1">
      <c r="A126" s="130" t="s">
        <v>147</v>
      </c>
      <c r="B126" s="131" t="s">
        <v>148</v>
      </c>
      <c r="C126" s="132"/>
      <c r="D126" s="133"/>
      <c r="E126" s="134"/>
      <c r="F126" s="134"/>
      <c r="G126" s="134"/>
      <c r="H126" s="134"/>
      <c r="I126" s="141"/>
      <c r="J126" s="141"/>
      <c r="K126" s="141">
        <f>K125*0.02</f>
        <v>0</v>
      </c>
      <c r="L126" s="141"/>
      <c r="M126" s="141">
        <f>M125*0.02</f>
        <v>0</v>
      </c>
      <c r="N126" s="142"/>
    </row>
    <row r="127" spans="1:14" ht="19.5" customHeight="1">
      <c r="A127" s="130" t="s">
        <v>149</v>
      </c>
      <c r="B127" s="131" t="s">
        <v>150</v>
      </c>
      <c r="C127" s="132"/>
      <c r="D127" s="133"/>
      <c r="E127" s="134"/>
      <c r="F127" s="134"/>
      <c r="G127" s="134"/>
      <c r="H127" s="134"/>
      <c r="I127" s="141"/>
      <c r="J127" s="141"/>
      <c r="K127" s="141"/>
      <c r="L127" s="141"/>
      <c r="M127" s="141">
        <v>5000</v>
      </c>
      <c r="N127" s="142"/>
    </row>
    <row r="128" spans="1:14" ht="19.5" customHeight="1">
      <c r="A128" s="130" t="s">
        <v>151</v>
      </c>
      <c r="B128" s="131" t="s">
        <v>152</v>
      </c>
      <c r="C128" s="132"/>
      <c r="D128" s="133"/>
      <c r="E128" s="134"/>
      <c r="F128" s="134"/>
      <c r="G128" s="134"/>
      <c r="H128" s="134"/>
      <c r="I128" s="141"/>
      <c r="J128" s="141"/>
      <c r="K128" s="141">
        <f>K125+K126+K127</f>
        <v>0</v>
      </c>
      <c r="L128" s="141"/>
      <c r="M128" s="141">
        <f>M125+M126+M127</f>
        <v>5000</v>
      </c>
      <c r="N128" s="142"/>
    </row>
  </sheetData>
  <sheetProtection/>
  <mergeCells count="18">
    <mergeCell ref="A1:N1"/>
    <mergeCell ref="F2:G2"/>
    <mergeCell ref="B4:D4"/>
    <mergeCell ref="B126:D126"/>
    <mergeCell ref="B127:D127"/>
    <mergeCell ref="B128:D128"/>
    <mergeCell ref="A2:A3"/>
    <mergeCell ref="B2:B3"/>
    <mergeCell ref="C2:C3"/>
    <mergeCell ref="D2:D3"/>
    <mergeCell ref="E2:E3"/>
    <mergeCell ref="H2:H3"/>
    <mergeCell ref="I2:I3"/>
    <mergeCell ref="J2:J3"/>
    <mergeCell ref="K2:K3"/>
    <mergeCell ref="L2:L3"/>
    <mergeCell ref="M2:M3"/>
    <mergeCell ref="N2:N3"/>
  </mergeCells>
  <printOptions/>
  <pageMargins left="0.7513888888888889" right="0.7513888888888889" top="1" bottom="1"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H53"/>
  <sheetViews>
    <sheetView tabSelected="1" zoomScaleSheetLayoutView="100" workbookViewId="0" topLeftCell="A1">
      <selection activeCell="I8" sqref="I8"/>
    </sheetView>
  </sheetViews>
  <sheetFormatPr defaultColWidth="8.125" defaultRowHeight="14.25"/>
  <cols>
    <col min="1" max="1" width="5.50390625" style="73" customWidth="1"/>
    <col min="2" max="2" width="5.875" style="73" customWidth="1"/>
    <col min="3" max="3" width="33.375" style="73" customWidth="1"/>
    <col min="4" max="4" width="7.375" style="73" customWidth="1"/>
    <col min="5" max="5" width="8.00390625" style="73" customWidth="1"/>
    <col min="6" max="6" width="8.625" style="73" customWidth="1"/>
    <col min="7" max="7" width="8.875" style="74" customWidth="1"/>
    <col min="8" max="8" width="9.125" style="75" customWidth="1"/>
    <col min="9" max="9" width="9.00390625" style="73" customWidth="1"/>
    <col min="10" max="10" width="7.625" style="73" customWidth="1"/>
    <col min="11" max="11" width="10.00390625" style="76" customWidth="1"/>
    <col min="12" max="216" width="8.125" style="73" customWidth="1"/>
    <col min="217" max="16384" width="8.125" style="72" customWidth="1"/>
  </cols>
  <sheetData>
    <row r="1" spans="1:216" s="72" customFormat="1" ht="27" customHeight="1">
      <c r="A1" s="77" t="s">
        <v>153</v>
      </c>
      <c r="B1" s="77"/>
      <c r="C1" s="77"/>
      <c r="D1" s="77"/>
      <c r="E1" s="77"/>
      <c r="F1" s="77"/>
      <c r="G1" s="77"/>
      <c r="H1" s="77"/>
      <c r="I1" s="77"/>
      <c r="J1" s="77"/>
      <c r="K1" s="77"/>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row>
    <row r="2" spans="1:216" s="72" customFormat="1" ht="23.25" customHeight="1">
      <c r="A2" s="78" t="s">
        <v>154</v>
      </c>
      <c r="B2" s="78"/>
      <c r="C2" s="78"/>
      <c r="D2" s="79" t="s">
        <v>155</v>
      </c>
      <c r="E2" s="79"/>
      <c r="F2" s="79"/>
      <c r="G2" s="80">
        <f>1200</f>
        <v>1200</v>
      </c>
      <c r="H2" s="81">
        <f>1300</f>
        <v>1300</v>
      </c>
      <c r="I2" s="107" t="s">
        <v>156</v>
      </c>
      <c r="J2" s="108">
        <f>G2*H2/1000000</f>
        <v>1.56</v>
      </c>
      <c r="K2" s="76"/>
      <c r="L2" s="73"/>
      <c r="M2" s="73"/>
      <c r="N2" s="73"/>
      <c r="O2" s="73"/>
      <c r="P2" s="73"/>
      <c r="Q2" s="73"/>
      <c r="R2" s="73"/>
      <c r="S2" s="73"/>
      <c r="T2" s="118" t="s">
        <v>157</v>
      </c>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row>
    <row r="3" spans="1:216" s="72" customFormat="1" ht="33.75" customHeight="1">
      <c r="A3" s="82" t="s">
        <v>1</v>
      </c>
      <c r="B3" s="82" t="s">
        <v>158</v>
      </c>
      <c r="C3" s="82"/>
      <c r="D3" s="82" t="s">
        <v>159</v>
      </c>
      <c r="E3" s="83" t="s">
        <v>160</v>
      </c>
      <c r="F3" s="84" t="s">
        <v>161</v>
      </c>
      <c r="G3" s="84" t="s">
        <v>162</v>
      </c>
      <c r="H3" s="84" t="s">
        <v>163</v>
      </c>
      <c r="I3" s="84" t="s">
        <v>164</v>
      </c>
      <c r="J3" s="84" t="s">
        <v>165</v>
      </c>
      <c r="K3" s="109" t="s">
        <v>13</v>
      </c>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row>
    <row r="4" spans="1:216" s="72" customFormat="1" ht="33" customHeight="1">
      <c r="A4" s="85" t="s">
        <v>166</v>
      </c>
      <c r="B4" s="82" t="s">
        <v>167</v>
      </c>
      <c r="C4" s="86" t="s">
        <v>168</v>
      </c>
      <c r="D4" s="87" t="s">
        <v>169</v>
      </c>
      <c r="E4" s="88"/>
      <c r="F4" s="88">
        <f>E4/J2</f>
        <v>0</v>
      </c>
      <c r="G4" s="89">
        <f>'主要材料表'!F3</f>
        <v>0</v>
      </c>
      <c r="H4" s="89">
        <f>E4*G4</f>
        <v>0</v>
      </c>
      <c r="I4" s="89">
        <f>H4/J2</f>
        <v>0</v>
      </c>
      <c r="J4" s="89"/>
      <c r="K4" s="110" t="s">
        <v>170</v>
      </c>
      <c r="L4" s="111"/>
      <c r="M4" s="111"/>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row>
    <row r="5" spans="1:216" s="72" customFormat="1" ht="33" customHeight="1">
      <c r="A5" s="85"/>
      <c r="B5" s="82"/>
      <c r="C5" s="90" t="s">
        <v>171</v>
      </c>
      <c r="D5" s="87" t="s">
        <v>172</v>
      </c>
      <c r="E5" s="88"/>
      <c r="F5" s="88">
        <f>E5/J2</f>
        <v>0</v>
      </c>
      <c r="G5" s="89">
        <f>'主要材料表'!F5</f>
        <v>0</v>
      </c>
      <c r="H5" s="89">
        <f aca="true" t="shared" si="0" ref="H4:H6">E5*G5</f>
        <v>0</v>
      </c>
      <c r="I5" s="89">
        <f>H5/J2</f>
        <v>0</v>
      </c>
      <c r="J5" s="89"/>
      <c r="K5" s="112"/>
      <c r="L5" s="111"/>
      <c r="M5" s="111"/>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row>
    <row r="6" spans="1:216" s="72" customFormat="1" ht="16.5" customHeight="1">
      <c r="A6" s="85"/>
      <c r="B6" s="82"/>
      <c r="C6" s="90" t="s">
        <v>173</v>
      </c>
      <c r="D6" s="91" t="s">
        <v>174</v>
      </c>
      <c r="E6" s="88">
        <v>1</v>
      </c>
      <c r="F6" s="88">
        <f>E6/J2</f>
        <v>0.641025641025641</v>
      </c>
      <c r="G6" s="89"/>
      <c r="H6" s="89">
        <f>SUM(H7:H12)</f>
        <v>0</v>
      </c>
      <c r="I6" s="89">
        <f>H6/J2</f>
        <v>0</v>
      </c>
      <c r="J6" s="89"/>
      <c r="K6" s="110" t="s">
        <v>175</v>
      </c>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row>
    <row r="7" spans="1:216" s="72" customFormat="1" ht="16.5" customHeight="1">
      <c r="A7" s="85"/>
      <c r="B7" s="82"/>
      <c r="C7" s="92" t="s">
        <v>176</v>
      </c>
      <c r="D7" s="91"/>
      <c r="E7" s="88"/>
      <c r="F7" s="88"/>
      <c r="G7" s="89"/>
      <c r="H7" s="89">
        <v>0</v>
      </c>
      <c r="I7" s="89"/>
      <c r="J7" s="89"/>
      <c r="K7" s="11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row>
    <row r="8" spans="1:216" s="72" customFormat="1" ht="16.5" customHeight="1">
      <c r="A8" s="85"/>
      <c r="B8" s="82"/>
      <c r="C8" s="92" t="s">
        <v>177</v>
      </c>
      <c r="D8" s="91"/>
      <c r="E8" s="88"/>
      <c r="F8" s="88"/>
      <c r="G8" s="89"/>
      <c r="H8" s="89">
        <v>0</v>
      </c>
      <c r="I8" s="89"/>
      <c r="J8" s="89"/>
      <c r="K8" s="11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row>
    <row r="9" spans="1:216" s="72" customFormat="1" ht="16.5" customHeight="1">
      <c r="A9" s="85"/>
      <c r="B9" s="82"/>
      <c r="C9" s="92" t="s">
        <v>178</v>
      </c>
      <c r="D9" s="91"/>
      <c r="E9" s="88"/>
      <c r="F9" s="88"/>
      <c r="G9" s="89"/>
      <c r="H9" s="89">
        <v>0</v>
      </c>
      <c r="I9" s="89"/>
      <c r="J9" s="89"/>
      <c r="K9" s="11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row>
    <row r="10" spans="1:216" s="72" customFormat="1" ht="16.5" customHeight="1">
      <c r="A10" s="85"/>
      <c r="B10" s="82"/>
      <c r="C10" s="92" t="s">
        <v>179</v>
      </c>
      <c r="D10" s="91"/>
      <c r="E10" s="88"/>
      <c r="F10" s="88"/>
      <c r="G10" s="89"/>
      <c r="H10" s="89">
        <v>0</v>
      </c>
      <c r="I10" s="89"/>
      <c r="J10" s="89"/>
      <c r="K10" s="11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row>
    <row r="11" spans="1:216" s="72" customFormat="1" ht="16.5" customHeight="1">
      <c r="A11" s="85"/>
      <c r="B11" s="82"/>
      <c r="C11" s="92" t="s">
        <v>180</v>
      </c>
      <c r="D11" s="91"/>
      <c r="E11" s="88"/>
      <c r="F11" s="88"/>
      <c r="G11" s="89"/>
      <c r="H11" s="89">
        <v>0</v>
      </c>
      <c r="I11" s="89"/>
      <c r="J11" s="89"/>
      <c r="K11" s="11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row>
    <row r="12" spans="1:216" s="72" customFormat="1" ht="16.5" customHeight="1">
      <c r="A12" s="85"/>
      <c r="B12" s="82"/>
      <c r="C12" s="92" t="s">
        <v>181</v>
      </c>
      <c r="D12" s="91"/>
      <c r="E12" s="88"/>
      <c r="F12" s="88"/>
      <c r="G12" s="89"/>
      <c r="H12" s="89">
        <v>0</v>
      </c>
      <c r="I12" s="89"/>
      <c r="J12" s="89"/>
      <c r="K12" s="112"/>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row>
    <row r="13" spans="1:216" s="72" customFormat="1" ht="16.5" customHeight="1">
      <c r="A13" s="85"/>
      <c r="B13" s="82"/>
      <c r="C13" s="93"/>
      <c r="D13" s="91"/>
      <c r="E13" s="88"/>
      <c r="F13" s="88"/>
      <c r="G13" s="89"/>
      <c r="H13" s="89"/>
      <c r="I13" s="89"/>
      <c r="J13" s="89"/>
      <c r="K13" s="114"/>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row>
    <row r="14" spans="1:216" s="72" customFormat="1" ht="16.5" customHeight="1">
      <c r="A14" s="85"/>
      <c r="B14" s="82"/>
      <c r="C14" s="90" t="s">
        <v>182</v>
      </c>
      <c r="D14" s="91"/>
      <c r="E14" s="88"/>
      <c r="F14" s="88"/>
      <c r="G14" s="94"/>
      <c r="H14" s="94">
        <f>SUM(H4:H6)</f>
        <v>0</v>
      </c>
      <c r="I14" s="94">
        <f>SUM(I4:I6)</f>
        <v>0</v>
      </c>
      <c r="J14" s="89"/>
      <c r="K14" s="109"/>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row>
    <row r="15" spans="1:216" s="72" customFormat="1" ht="16.5" customHeight="1">
      <c r="A15" s="85"/>
      <c r="B15" s="82"/>
      <c r="C15" s="90"/>
      <c r="D15" s="91"/>
      <c r="E15" s="88"/>
      <c r="F15" s="88"/>
      <c r="G15" s="94"/>
      <c r="H15" s="94"/>
      <c r="I15" s="94"/>
      <c r="J15" s="89"/>
      <c r="K15" s="109"/>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row>
    <row r="16" spans="1:216" s="72" customFormat="1" ht="16.5" customHeight="1">
      <c r="A16" s="85"/>
      <c r="B16" s="82"/>
      <c r="C16" s="91" t="s">
        <v>183</v>
      </c>
      <c r="D16" s="91" t="s">
        <v>184</v>
      </c>
      <c r="E16" s="88"/>
      <c r="F16" s="88"/>
      <c r="G16" s="89"/>
      <c r="H16" s="89">
        <f>E16*G16</f>
        <v>0</v>
      </c>
      <c r="I16" s="89">
        <f>H16/J2</f>
        <v>0</v>
      </c>
      <c r="J16" s="89"/>
      <c r="K16" s="109"/>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row>
    <row r="17" spans="1:216" s="72" customFormat="1" ht="16.5" customHeight="1">
      <c r="A17" s="85"/>
      <c r="B17" s="82"/>
      <c r="C17" s="91" t="s">
        <v>185</v>
      </c>
      <c r="D17" s="91" t="s">
        <v>184</v>
      </c>
      <c r="E17" s="88"/>
      <c r="F17" s="88"/>
      <c r="G17" s="89"/>
      <c r="H17" s="89">
        <f aca="true" t="shared" si="1" ref="H16:H28">E17*G17</f>
        <v>0</v>
      </c>
      <c r="I17" s="89">
        <f>H17/J2</f>
        <v>0</v>
      </c>
      <c r="J17" s="89"/>
      <c r="K17" s="109"/>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row>
    <row r="18" spans="1:216" s="72" customFormat="1" ht="16.5" customHeight="1">
      <c r="A18" s="85"/>
      <c r="B18" s="82"/>
      <c r="C18" s="91" t="s">
        <v>186</v>
      </c>
      <c r="D18" s="91" t="s">
        <v>187</v>
      </c>
      <c r="E18" s="88"/>
      <c r="F18" s="88"/>
      <c r="G18" s="89"/>
      <c r="H18" s="89">
        <f t="shared" si="1"/>
        <v>0</v>
      </c>
      <c r="I18" s="89">
        <f>H18/J2</f>
        <v>0</v>
      </c>
      <c r="J18" s="89"/>
      <c r="K18" s="109"/>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row>
    <row r="19" spans="1:216" s="72" customFormat="1" ht="16.5" customHeight="1">
      <c r="A19" s="85"/>
      <c r="B19" s="82"/>
      <c r="C19" s="91" t="s">
        <v>188</v>
      </c>
      <c r="D19" s="91" t="s">
        <v>184</v>
      </c>
      <c r="E19" s="88"/>
      <c r="F19" s="88"/>
      <c r="G19" s="89"/>
      <c r="H19" s="89">
        <f t="shared" si="1"/>
        <v>0</v>
      </c>
      <c r="I19" s="89">
        <f>H19/J2</f>
        <v>0</v>
      </c>
      <c r="J19" s="89"/>
      <c r="K19" s="109"/>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row>
    <row r="20" spans="1:216" s="72" customFormat="1" ht="16.5" customHeight="1">
      <c r="A20" s="85"/>
      <c r="B20" s="82"/>
      <c r="C20" s="91" t="s">
        <v>189</v>
      </c>
      <c r="D20" s="91" t="s">
        <v>187</v>
      </c>
      <c r="E20" s="88"/>
      <c r="F20" s="88"/>
      <c r="G20" s="89"/>
      <c r="H20" s="89">
        <f t="shared" si="1"/>
        <v>0</v>
      </c>
      <c r="I20" s="89">
        <f>H20/J2</f>
        <v>0</v>
      </c>
      <c r="J20" s="89"/>
      <c r="K20" s="109"/>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row>
    <row r="21" spans="1:216" s="72" customFormat="1" ht="16.5" customHeight="1">
      <c r="A21" s="85"/>
      <c r="B21" s="82"/>
      <c r="C21" s="91"/>
      <c r="D21" s="91" t="s">
        <v>187</v>
      </c>
      <c r="E21" s="88"/>
      <c r="F21" s="88"/>
      <c r="G21" s="89"/>
      <c r="H21" s="89">
        <f t="shared" si="1"/>
        <v>0</v>
      </c>
      <c r="I21" s="89">
        <f>H21/J2</f>
        <v>0</v>
      </c>
      <c r="J21" s="89"/>
      <c r="K21" s="109"/>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row>
    <row r="22" spans="1:216" s="72" customFormat="1" ht="70.5" customHeight="1">
      <c r="A22" s="85"/>
      <c r="B22" s="82"/>
      <c r="C22" s="82" t="s">
        <v>190</v>
      </c>
      <c r="D22" s="95" t="s">
        <v>191</v>
      </c>
      <c r="E22" s="91"/>
      <c r="F22" s="88"/>
      <c r="G22" s="89"/>
      <c r="H22" s="89">
        <f t="shared" si="1"/>
        <v>0</v>
      </c>
      <c r="I22" s="89">
        <f>H22/J2</f>
        <v>0</v>
      </c>
      <c r="J22" s="89"/>
      <c r="K22" s="109"/>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row>
    <row r="23" spans="1:216" s="72" customFormat="1" ht="16.5" customHeight="1">
      <c r="A23" s="85"/>
      <c r="B23" s="82"/>
      <c r="C23" s="91"/>
      <c r="D23" s="87"/>
      <c r="E23" s="88"/>
      <c r="F23" s="88"/>
      <c r="G23" s="89"/>
      <c r="H23" s="89">
        <f t="shared" si="1"/>
        <v>0</v>
      </c>
      <c r="I23" s="89">
        <f>H23/J2</f>
        <v>0</v>
      </c>
      <c r="J23" s="89"/>
      <c r="K23" s="109"/>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row>
    <row r="24" spans="1:216" s="72" customFormat="1" ht="16.5" customHeight="1">
      <c r="A24" s="85"/>
      <c r="B24" s="82"/>
      <c r="C24" s="91"/>
      <c r="D24" s="95"/>
      <c r="E24" s="88"/>
      <c r="F24" s="88"/>
      <c r="G24" s="89"/>
      <c r="H24" s="89">
        <f t="shared" si="1"/>
        <v>0</v>
      </c>
      <c r="I24" s="89">
        <f>H24/J2</f>
        <v>0</v>
      </c>
      <c r="J24" s="89"/>
      <c r="K24" s="109"/>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row>
    <row r="25" spans="1:216" s="72" customFormat="1" ht="16.5" customHeight="1">
      <c r="A25" s="85"/>
      <c r="B25" s="82"/>
      <c r="C25" s="91"/>
      <c r="D25" s="95"/>
      <c r="E25" s="88"/>
      <c r="F25" s="88"/>
      <c r="G25" s="89"/>
      <c r="H25" s="89">
        <f t="shared" si="1"/>
        <v>0</v>
      </c>
      <c r="I25" s="89">
        <f>H25/J2</f>
        <v>0</v>
      </c>
      <c r="J25" s="89"/>
      <c r="K25" s="109"/>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row>
    <row r="26" spans="1:216" s="72" customFormat="1" ht="16.5" customHeight="1">
      <c r="A26" s="85"/>
      <c r="B26" s="82"/>
      <c r="C26" s="91"/>
      <c r="D26" s="95"/>
      <c r="E26" s="88"/>
      <c r="F26" s="88"/>
      <c r="G26" s="89"/>
      <c r="H26" s="89">
        <f t="shared" si="1"/>
        <v>0</v>
      </c>
      <c r="I26" s="89">
        <f>H26/J2</f>
        <v>0</v>
      </c>
      <c r="J26" s="89"/>
      <c r="K26" s="109"/>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row>
    <row r="27" spans="1:216" s="72" customFormat="1" ht="16.5" customHeight="1">
      <c r="A27" s="85"/>
      <c r="B27" s="82"/>
      <c r="C27" s="91"/>
      <c r="D27" s="87"/>
      <c r="E27" s="88"/>
      <c r="F27" s="88"/>
      <c r="G27" s="89"/>
      <c r="H27" s="89">
        <f t="shared" si="1"/>
        <v>0</v>
      </c>
      <c r="I27" s="89">
        <f>H27/J2</f>
        <v>0</v>
      </c>
      <c r="J27" s="89"/>
      <c r="K27" s="109"/>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row>
    <row r="28" spans="1:216" s="72" customFormat="1" ht="16.5" customHeight="1">
      <c r="A28" s="85"/>
      <c r="B28" s="82"/>
      <c r="C28" s="91"/>
      <c r="D28" s="87"/>
      <c r="E28" s="88"/>
      <c r="F28" s="88"/>
      <c r="G28" s="89"/>
      <c r="H28" s="89">
        <f t="shared" si="1"/>
        <v>0</v>
      </c>
      <c r="I28" s="89">
        <f>H28/J2</f>
        <v>0</v>
      </c>
      <c r="J28" s="89"/>
      <c r="K28" s="109"/>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row>
    <row r="29" spans="1:216" s="72" customFormat="1" ht="16.5" customHeight="1">
      <c r="A29" s="85"/>
      <c r="B29" s="82"/>
      <c r="C29" s="91"/>
      <c r="D29" s="87"/>
      <c r="E29" s="88"/>
      <c r="F29" s="88"/>
      <c r="G29" s="89"/>
      <c r="H29" s="89"/>
      <c r="I29" s="89"/>
      <c r="J29" s="89"/>
      <c r="K29" s="109"/>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row>
    <row r="30" spans="1:216" s="72" customFormat="1" ht="16.5" customHeight="1">
      <c r="A30" s="85"/>
      <c r="B30" s="82"/>
      <c r="C30" s="90" t="s">
        <v>192</v>
      </c>
      <c r="D30" s="87"/>
      <c r="E30" s="88"/>
      <c r="F30" s="88"/>
      <c r="G30" s="89"/>
      <c r="H30" s="94">
        <f>SUM(H16:H29)</f>
        <v>0</v>
      </c>
      <c r="I30" s="94">
        <f>SUM(I16:I29)</f>
        <v>0</v>
      </c>
      <c r="J30" s="89"/>
      <c r="K30" s="109"/>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row>
    <row r="31" spans="1:216" s="72" customFormat="1" ht="16.5" customHeight="1">
      <c r="A31" s="85"/>
      <c r="B31" s="86" t="s">
        <v>193</v>
      </c>
      <c r="C31" s="86"/>
      <c r="D31" s="87"/>
      <c r="E31" s="88"/>
      <c r="F31" s="88"/>
      <c r="G31" s="89"/>
      <c r="H31" s="96">
        <f>H14+H30</f>
        <v>0</v>
      </c>
      <c r="I31" s="96">
        <f>I14+I30</f>
        <v>0</v>
      </c>
      <c r="J31" s="89"/>
      <c r="K31" s="109"/>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row>
    <row r="32" spans="1:216" s="72" customFormat="1" ht="16.5" customHeight="1">
      <c r="A32" s="85" t="s">
        <v>194</v>
      </c>
      <c r="B32" s="91" t="s">
        <v>195</v>
      </c>
      <c r="C32" s="91" t="s">
        <v>196</v>
      </c>
      <c r="D32" s="87" t="s">
        <v>172</v>
      </c>
      <c r="E32" s="88">
        <f>J2</f>
        <v>1.56</v>
      </c>
      <c r="F32" s="88">
        <f>E32/J2</f>
        <v>1</v>
      </c>
      <c r="G32" s="89"/>
      <c r="H32" s="89">
        <f aca="true" t="shared" si="2" ref="H32:H35">E32*G32</f>
        <v>0</v>
      </c>
      <c r="I32" s="89">
        <f>H32/J2</f>
        <v>0</v>
      </c>
      <c r="J32" s="89"/>
      <c r="K32" s="109"/>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row>
    <row r="33" spans="1:216" s="72" customFormat="1" ht="16.5" customHeight="1">
      <c r="A33" s="85"/>
      <c r="B33" s="91"/>
      <c r="C33" s="91" t="s">
        <v>197</v>
      </c>
      <c r="D33" s="87" t="s">
        <v>191</v>
      </c>
      <c r="E33" s="88">
        <f>J2</f>
        <v>1.56</v>
      </c>
      <c r="F33" s="88">
        <f>E33/J2</f>
        <v>1</v>
      </c>
      <c r="G33" s="89"/>
      <c r="H33" s="89">
        <f t="shared" si="2"/>
        <v>0</v>
      </c>
      <c r="I33" s="89">
        <f>H33/J2</f>
        <v>0</v>
      </c>
      <c r="J33" s="89"/>
      <c r="K33" s="109"/>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row>
    <row r="34" spans="1:216" s="72" customFormat="1" ht="16.5" customHeight="1">
      <c r="A34" s="85"/>
      <c r="B34" s="86" t="s">
        <v>146</v>
      </c>
      <c r="C34" s="86"/>
      <c r="D34" s="91"/>
      <c r="E34" s="88"/>
      <c r="F34" s="88"/>
      <c r="G34" s="89"/>
      <c r="H34" s="96">
        <f>SUM(H32:H33)</f>
        <v>0</v>
      </c>
      <c r="I34" s="96">
        <f>SUM(I32:I33)</f>
        <v>0</v>
      </c>
      <c r="J34" s="89"/>
      <c r="K34" s="109"/>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row>
    <row r="35" spans="1:216" s="72" customFormat="1" ht="16.5" customHeight="1">
      <c r="A35" s="85" t="s">
        <v>198</v>
      </c>
      <c r="B35" s="91" t="s">
        <v>199</v>
      </c>
      <c r="C35" s="91"/>
      <c r="D35" s="87" t="s">
        <v>172</v>
      </c>
      <c r="E35" s="88">
        <f>J2</f>
        <v>1.56</v>
      </c>
      <c r="F35" s="88">
        <f>E35/J2</f>
        <v>1</v>
      </c>
      <c r="G35" s="89"/>
      <c r="H35" s="89">
        <f t="shared" si="2"/>
        <v>0</v>
      </c>
      <c r="I35" s="89">
        <f>H35/J2</f>
        <v>0</v>
      </c>
      <c r="J35" s="89"/>
      <c r="K35" s="109"/>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row>
    <row r="36" spans="1:216" s="72" customFormat="1" ht="16.5" customHeight="1">
      <c r="A36" s="85"/>
      <c r="B36" s="86" t="s">
        <v>146</v>
      </c>
      <c r="C36" s="86"/>
      <c r="D36" s="87"/>
      <c r="E36" s="88"/>
      <c r="F36" s="88"/>
      <c r="G36" s="89"/>
      <c r="H36" s="96">
        <f>SUM(H35:H35)</f>
        <v>0</v>
      </c>
      <c r="I36" s="96">
        <f>SUM(I35:I35)</f>
        <v>0</v>
      </c>
      <c r="J36" s="89"/>
      <c r="K36" s="109"/>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row>
    <row r="37" spans="1:216" s="72" customFormat="1" ht="16.5" customHeight="1">
      <c r="A37" s="86" t="s">
        <v>200</v>
      </c>
      <c r="B37" s="82" t="s">
        <v>201</v>
      </c>
      <c r="C37" s="91"/>
      <c r="D37" s="91" t="s">
        <v>202</v>
      </c>
      <c r="E37" s="91"/>
      <c r="F37" s="88">
        <v>1</v>
      </c>
      <c r="G37" s="97"/>
      <c r="H37" s="89">
        <f>(H31+H34+H36)*G37</f>
        <v>0</v>
      </c>
      <c r="I37" s="89">
        <f>H37/J2</f>
        <v>0</v>
      </c>
      <c r="J37" s="97"/>
      <c r="K37" s="109"/>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row>
    <row r="38" spans="1:216" s="72" customFormat="1" ht="16.5" customHeight="1">
      <c r="A38" s="86" t="s">
        <v>203</v>
      </c>
      <c r="B38" s="82" t="s">
        <v>204</v>
      </c>
      <c r="C38" s="91"/>
      <c r="D38" s="91" t="s">
        <v>205</v>
      </c>
      <c r="E38" s="91"/>
      <c r="F38" s="88">
        <v>1</v>
      </c>
      <c r="G38" s="97"/>
      <c r="H38" s="89">
        <f>(H34+H36)*G38</f>
        <v>0</v>
      </c>
      <c r="I38" s="89">
        <f>H38/J2</f>
        <v>0</v>
      </c>
      <c r="J38" s="97"/>
      <c r="K38" s="109"/>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row>
    <row r="39" spans="1:216" s="72" customFormat="1" ht="16.5" customHeight="1">
      <c r="A39" s="86" t="s">
        <v>206</v>
      </c>
      <c r="B39" s="82" t="s">
        <v>207</v>
      </c>
      <c r="C39" s="82"/>
      <c r="D39" s="91" t="s">
        <v>208</v>
      </c>
      <c r="E39" s="91"/>
      <c r="F39" s="91"/>
      <c r="G39" s="98"/>
      <c r="H39" s="99">
        <f>H31+H34+H36+H37+H38</f>
        <v>0</v>
      </c>
      <c r="I39" s="115">
        <f>H39/J2</f>
        <v>0</v>
      </c>
      <c r="J39" s="89"/>
      <c r="K39" s="109"/>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row>
    <row r="40" spans="1:216" s="72" customFormat="1" ht="16.5" customHeight="1">
      <c r="A40" s="86" t="s">
        <v>209</v>
      </c>
      <c r="B40" s="82" t="s">
        <v>210</v>
      </c>
      <c r="C40" s="100">
        <v>0.3</v>
      </c>
      <c r="D40" s="91" t="s">
        <v>211</v>
      </c>
      <c r="E40" s="91"/>
      <c r="F40" s="88">
        <v>1</v>
      </c>
      <c r="G40" s="98">
        <v>0.09</v>
      </c>
      <c r="H40" s="101">
        <f>H39*C40*G40</f>
        <v>0</v>
      </c>
      <c r="I40" s="89">
        <f>I39*C40*G40</f>
        <v>0</v>
      </c>
      <c r="J40" s="89"/>
      <c r="K40" s="110" t="s">
        <v>212</v>
      </c>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row>
    <row r="41" spans="1:216" s="72" customFormat="1" ht="16.5" customHeight="1">
      <c r="A41" s="86"/>
      <c r="B41" s="82" t="s">
        <v>213</v>
      </c>
      <c r="C41" s="100">
        <v>0.7</v>
      </c>
      <c r="D41" s="91" t="s">
        <v>211</v>
      </c>
      <c r="E41" s="91"/>
      <c r="F41" s="88">
        <v>1</v>
      </c>
      <c r="G41" s="98">
        <v>0.13</v>
      </c>
      <c r="H41" s="101">
        <f>H39*C41*G41</f>
        <v>0</v>
      </c>
      <c r="I41" s="89">
        <f>I39*C41*G41</f>
        <v>0</v>
      </c>
      <c r="J41" s="89"/>
      <c r="K41" s="11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row>
    <row r="42" spans="1:216" s="72" customFormat="1" ht="16.5" customHeight="1">
      <c r="A42" s="86"/>
      <c r="B42" s="91" t="s">
        <v>146</v>
      </c>
      <c r="C42" s="91"/>
      <c r="D42" s="91"/>
      <c r="E42" s="91"/>
      <c r="F42" s="88"/>
      <c r="G42" s="98"/>
      <c r="H42" s="101">
        <f>H40+H41</f>
        <v>0</v>
      </c>
      <c r="I42" s="101">
        <f>I40+I41</f>
        <v>0</v>
      </c>
      <c r="J42" s="89"/>
      <c r="K42" s="112"/>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row>
    <row r="43" spans="1:216" s="72" customFormat="1" ht="16.5" customHeight="1">
      <c r="A43" s="86" t="s">
        <v>214</v>
      </c>
      <c r="B43" s="82" t="s">
        <v>215</v>
      </c>
      <c r="C43" s="82"/>
      <c r="D43" s="91"/>
      <c r="E43" s="91"/>
      <c r="F43" s="91"/>
      <c r="G43" s="98"/>
      <c r="H43" s="99">
        <f>H39+H42</f>
        <v>0</v>
      </c>
      <c r="I43" s="99">
        <f>I39+I42</f>
        <v>0</v>
      </c>
      <c r="J43" s="89"/>
      <c r="K43" s="109"/>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row>
    <row r="44" spans="1:216" s="72" customFormat="1" ht="13.5">
      <c r="A44" s="102" t="s">
        <v>216</v>
      </c>
      <c r="B44" s="102"/>
      <c r="C44" s="102"/>
      <c r="D44" s="102"/>
      <c r="E44" s="102"/>
      <c r="F44" s="102"/>
      <c r="G44" s="103"/>
      <c r="H44" s="102"/>
      <c r="I44" s="102"/>
      <c r="J44" s="102"/>
      <c r="K44" s="116"/>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row>
    <row r="45" spans="1:216" s="72" customFormat="1" ht="13.5">
      <c r="A45" s="102" t="s">
        <v>217</v>
      </c>
      <c r="B45" s="102"/>
      <c r="C45" s="102"/>
      <c r="D45" s="102"/>
      <c r="E45" s="102"/>
      <c r="F45" s="102"/>
      <c r="G45" s="103"/>
      <c r="H45" s="102"/>
      <c r="I45" s="102"/>
      <c r="J45" s="102"/>
      <c r="K45" s="116"/>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row>
    <row r="46" spans="1:216" s="72" customFormat="1" ht="13.5">
      <c r="A46" s="102" t="s">
        <v>218</v>
      </c>
      <c r="B46" s="102"/>
      <c r="C46" s="102"/>
      <c r="D46" s="102"/>
      <c r="E46" s="102"/>
      <c r="F46" s="102"/>
      <c r="G46" s="103"/>
      <c r="H46" s="102"/>
      <c r="I46" s="102"/>
      <c r="J46" s="102"/>
      <c r="K46" s="116"/>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row>
    <row r="47" spans="1:216" s="72" customFormat="1" ht="33" customHeight="1">
      <c r="A47" s="102" t="s">
        <v>219</v>
      </c>
      <c r="B47" s="102"/>
      <c r="C47" s="102"/>
      <c r="D47" s="102"/>
      <c r="E47" s="102"/>
      <c r="F47" s="102"/>
      <c r="G47" s="103"/>
      <c r="H47" s="102"/>
      <c r="I47" s="102"/>
      <c r="J47" s="102"/>
      <c r="K47" s="116"/>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row>
    <row r="48" spans="1:216" s="72" customFormat="1" ht="33" customHeight="1">
      <c r="A48" s="102" t="s">
        <v>220</v>
      </c>
      <c r="B48" s="102"/>
      <c r="C48" s="102"/>
      <c r="D48" s="102"/>
      <c r="E48" s="102"/>
      <c r="F48" s="102"/>
      <c r="G48" s="103"/>
      <c r="H48" s="102"/>
      <c r="I48" s="102"/>
      <c r="J48" s="102"/>
      <c r="K48" s="116"/>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row>
    <row r="49" spans="1:216" s="72" customFormat="1" ht="31.5" customHeight="1">
      <c r="A49" s="102" t="s">
        <v>221</v>
      </c>
      <c r="B49" s="102"/>
      <c r="C49" s="102"/>
      <c r="D49" s="102"/>
      <c r="E49" s="102"/>
      <c r="F49" s="102"/>
      <c r="G49" s="103"/>
      <c r="H49" s="102"/>
      <c r="I49" s="102"/>
      <c r="J49" s="102"/>
      <c r="K49" s="116"/>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row>
    <row r="50" spans="1:216" s="72" customFormat="1" ht="24" customHeight="1">
      <c r="A50" s="102" t="s">
        <v>222</v>
      </c>
      <c r="B50" s="102"/>
      <c r="C50" s="102"/>
      <c r="D50" s="102"/>
      <c r="E50" s="102"/>
      <c r="F50" s="102"/>
      <c r="G50" s="103"/>
      <c r="H50" s="102"/>
      <c r="I50" s="102"/>
      <c r="J50" s="102"/>
      <c r="K50" s="116"/>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row>
    <row r="51" spans="1:216" s="72" customFormat="1" ht="27" customHeight="1">
      <c r="A51" s="104" t="s">
        <v>223</v>
      </c>
      <c r="B51" s="104"/>
      <c r="C51" s="104"/>
      <c r="D51" s="104"/>
      <c r="E51" s="104"/>
      <c r="F51" s="104"/>
      <c r="G51" s="105"/>
      <c r="H51" s="106"/>
      <c r="I51" s="106"/>
      <c r="J51" s="106"/>
      <c r="K51" s="116"/>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row>
    <row r="52" spans="1:216" s="72" customFormat="1" ht="13.5">
      <c r="A52" s="104" t="s">
        <v>224</v>
      </c>
      <c r="B52" s="104"/>
      <c r="C52" s="104"/>
      <c r="D52" s="104"/>
      <c r="E52" s="104"/>
      <c r="F52" s="104"/>
      <c r="G52" s="105"/>
      <c r="H52" s="106"/>
      <c r="I52" s="106"/>
      <c r="J52" s="106"/>
      <c r="K52" s="117"/>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row>
    <row r="53" spans="1:216" s="72" customFormat="1" ht="13.5">
      <c r="A53" s="104" t="s">
        <v>225</v>
      </c>
      <c r="B53" s="104"/>
      <c r="C53" s="104"/>
      <c r="D53" s="104"/>
      <c r="E53" s="104"/>
      <c r="F53" s="104"/>
      <c r="G53" s="105"/>
      <c r="H53" s="106"/>
      <c r="I53" s="106"/>
      <c r="J53" s="106"/>
      <c r="K53" s="117"/>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row>
  </sheetData>
  <sheetProtection/>
  <mergeCells count="38">
    <mergeCell ref="A1:K1"/>
    <mergeCell ref="A2:C2"/>
    <mergeCell ref="D2:E2"/>
    <mergeCell ref="B3:C3"/>
    <mergeCell ref="B31:C31"/>
    <mergeCell ref="B34:C34"/>
    <mergeCell ref="B35:C35"/>
    <mergeCell ref="B36:C36"/>
    <mergeCell ref="B37:C37"/>
    <mergeCell ref="D37:E37"/>
    <mergeCell ref="B38:C38"/>
    <mergeCell ref="D38:E38"/>
    <mergeCell ref="B39:C39"/>
    <mergeCell ref="D39:E39"/>
    <mergeCell ref="D40:E40"/>
    <mergeCell ref="D41:E41"/>
    <mergeCell ref="B42:C42"/>
    <mergeCell ref="B43:C43"/>
    <mergeCell ref="A44:J44"/>
    <mergeCell ref="A45:J45"/>
    <mergeCell ref="A46:J46"/>
    <mergeCell ref="A47:J47"/>
    <mergeCell ref="A48:J48"/>
    <mergeCell ref="A49:J49"/>
    <mergeCell ref="A50:J50"/>
    <mergeCell ref="A51:G51"/>
    <mergeCell ref="A52:G52"/>
    <mergeCell ref="A53:G53"/>
    <mergeCell ref="A4:A31"/>
    <mergeCell ref="A32:A34"/>
    <mergeCell ref="A35:A36"/>
    <mergeCell ref="A40:A42"/>
    <mergeCell ref="B4:B29"/>
    <mergeCell ref="B32:B33"/>
    <mergeCell ref="K4:K5"/>
    <mergeCell ref="K6:K12"/>
    <mergeCell ref="K40:K42"/>
    <mergeCell ref="L4:M5"/>
  </mergeCells>
  <printOptions/>
  <pageMargins left="0.75" right="0.75" top="1" bottom="1" header="0.5" footer="0.5"/>
  <pageSetup orientation="landscape" paperSize="9"/>
  <drawing r:id="rId1"/>
</worksheet>
</file>

<file path=xl/worksheets/sheet3.xml><?xml version="1.0" encoding="utf-8"?>
<worksheet xmlns="http://schemas.openxmlformats.org/spreadsheetml/2006/main" xmlns:r="http://schemas.openxmlformats.org/officeDocument/2006/relationships">
  <dimension ref="A1:G21"/>
  <sheetViews>
    <sheetView zoomScaleSheetLayoutView="100" workbookViewId="0" topLeftCell="A14">
      <selection activeCell="D19" sqref="D19"/>
    </sheetView>
  </sheetViews>
  <sheetFormatPr defaultColWidth="9.00390625" defaultRowHeight="25.5" customHeight="1"/>
  <cols>
    <col min="1" max="1" width="6.25390625" style="55" customWidth="1"/>
    <col min="2" max="2" width="27.875" style="56" customWidth="1"/>
    <col min="3" max="3" width="9.00390625" style="55" customWidth="1"/>
    <col min="4" max="4" width="9.875" style="55" customWidth="1"/>
    <col min="5" max="5" width="9.00390625" style="55" customWidth="1"/>
    <col min="6" max="6" width="7.875" style="57" customWidth="1"/>
    <col min="7" max="16384" width="9.00390625" style="55" customWidth="1"/>
  </cols>
  <sheetData>
    <row r="1" spans="1:7" s="55" customFormat="1" ht="25.5" customHeight="1">
      <c r="A1" s="58" t="s">
        <v>226</v>
      </c>
      <c r="B1" s="59"/>
      <c r="C1" s="58"/>
      <c r="D1" s="58"/>
      <c r="E1" s="58"/>
      <c r="F1" s="58"/>
      <c r="G1" s="58"/>
    </row>
    <row r="2" spans="1:7" s="55" customFormat="1" ht="25.5" customHeight="1">
      <c r="A2" s="60" t="s">
        <v>1</v>
      </c>
      <c r="B2" s="61" t="s">
        <v>227</v>
      </c>
      <c r="C2" s="62" t="s">
        <v>228</v>
      </c>
      <c r="D2" s="62" t="s">
        <v>229</v>
      </c>
      <c r="E2" s="62" t="s">
        <v>159</v>
      </c>
      <c r="F2" s="62" t="s">
        <v>230</v>
      </c>
      <c r="G2" s="63" t="s">
        <v>13</v>
      </c>
    </row>
    <row r="3" spans="1:7" s="55" customFormat="1" ht="25.5" customHeight="1">
      <c r="A3" s="64">
        <v>1</v>
      </c>
      <c r="B3" s="65" t="s">
        <v>231</v>
      </c>
      <c r="C3" s="66"/>
      <c r="D3" s="66"/>
      <c r="E3" s="66" t="s">
        <v>232</v>
      </c>
      <c r="F3" s="67"/>
      <c r="G3" s="68"/>
    </row>
    <row r="4" spans="1:7" s="55" customFormat="1" ht="25.5" customHeight="1">
      <c r="A4" s="64">
        <v>2</v>
      </c>
      <c r="B4" s="65" t="s">
        <v>233</v>
      </c>
      <c r="C4" s="66"/>
      <c r="D4" s="66"/>
      <c r="E4" s="66" t="s">
        <v>232</v>
      </c>
      <c r="F4" s="67"/>
      <c r="G4" s="68"/>
    </row>
    <row r="5" spans="1:7" s="55" customFormat="1" ht="25.5" customHeight="1">
      <c r="A5" s="64">
        <v>4</v>
      </c>
      <c r="B5" s="69" t="s">
        <v>171</v>
      </c>
      <c r="C5" s="66"/>
      <c r="D5" s="66"/>
      <c r="E5" s="66" t="s">
        <v>191</v>
      </c>
      <c r="F5" s="67"/>
      <c r="G5" s="68"/>
    </row>
    <row r="6" spans="1:7" s="55" customFormat="1" ht="25.5" customHeight="1">
      <c r="A6" s="64">
        <v>14</v>
      </c>
      <c r="B6" s="69" t="s">
        <v>185</v>
      </c>
      <c r="C6" s="66"/>
      <c r="D6" s="66"/>
      <c r="E6" s="66" t="s">
        <v>184</v>
      </c>
      <c r="F6" s="66"/>
      <c r="G6" s="68"/>
    </row>
    <row r="7" spans="1:7" s="55" customFormat="1" ht="25.5" customHeight="1">
      <c r="A7" s="64">
        <v>15</v>
      </c>
      <c r="B7" s="69" t="s">
        <v>183</v>
      </c>
      <c r="C7" s="66"/>
      <c r="D7" s="66"/>
      <c r="E7" s="66" t="s">
        <v>184</v>
      </c>
      <c r="F7" s="66"/>
      <c r="G7" s="68"/>
    </row>
    <row r="8" spans="1:7" s="55" customFormat="1" ht="25.5" customHeight="1">
      <c r="A8" s="64">
        <v>16</v>
      </c>
      <c r="B8" s="69" t="s">
        <v>234</v>
      </c>
      <c r="C8" s="66"/>
      <c r="D8" s="66"/>
      <c r="E8" s="66" t="s">
        <v>174</v>
      </c>
      <c r="F8" s="66"/>
      <c r="G8" s="68"/>
    </row>
    <row r="9" spans="1:7" s="55" customFormat="1" ht="25.5" customHeight="1">
      <c r="A9" s="64">
        <v>17</v>
      </c>
      <c r="B9" s="65" t="s">
        <v>189</v>
      </c>
      <c r="C9" s="66"/>
      <c r="D9" s="66"/>
      <c r="E9" s="66" t="s">
        <v>187</v>
      </c>
      <c r="F9" s="66"/>
      <c r="G9" s="68"/>
    </row>
    <row r="10" spans="1:7" s="55" customFormat="1" ht="25.5" customHeight="1">
      <c r="A10" s="64">
        <v>18</v>
      </c>
      <c r="B10" s="65" t="s">
        <v>186</v>
      </c>
      <c r="C10" s="66"/>
      <c r="D10" s="66"/>
      <c r="E10" s="66" t="s">
        <v>187</v>
      </c>
      <c r="F10" s="66"/>
      <c r="G10" s="68"/>
    </row>
    <row r="11" spans="1:7" s="55" customFormat="1" ht="25.5" customHeight="1">
      <c r="A11" s="64">
        <v>19</v>
      </c>
      <c r="B11" s="65" t="s">
        <v>235</v>
      </c>
      <c r="C11" s="66"/>
      <c r="D11" s="66"/>
      <c r="E11" s="66" t="s">
        <v>187</v>
      </c>
      <c r="F11" s="66"/>
      <c r="G11" s="68"/>
    </row>
    <row r="12" spans="1:7" s="55" customFormat="1" ht="25.5" customHeight="1">
      <c r="A12" s="64">
        <v>20</v>
      </c>
      <c r="B12" s="65" t="s">
        <v>188</v>
      </c>
      <c r="C12" s="66"/>
      <c r="D12" s="66"/>
      <c r="E12" s="66" t="s">
        <v>184</v>
      </c>
      <c r="F12" s="66"/>
      <c r="G12" s="68"/>
    </row>
    <row r="13" spans="1:7" s="55" customFormat="1" ht="25.5" customHeight="1">
      <c r="A13" s="64">
        <v>21</v>
      </c>
      <c r="B13" s="65"/>
      <c r="C13" s="66"/>
      <c r="D13" s="66"/>
      <c r="E13" s="66"/>
      <c r="F13" s="66"/>
      <c r="G13" s="68"/>
    </row>
    <row r="14" spans="1:7" s="55" customFormat="1" ht="25.5" customHeight="1">
      <c r="A14" s="64">
        <v>22</v>
      </c>
      <c r="B14" s="65"/>
      <c r="C14" s="66"/>
      <c r="D14" s="66"/>
      <c r="E14" s="66"/>
      <c r="F14" s="66"/>
      <c r="G14" s="68"/>
    </row>
    <row r="15" spans="1:7" s="55" customFormat="1" ht="25.5" customHeight="1">
      <c r="A15" s="64">
        <v>23</v>
      </c>
      <c r="B15" s="65"/>
      <c r="C15" s="66"/>
      <c r="D15" s="66"/>
      <c r="E15" s="66"/>
      <c r="F15" s="66"/>
      <c r="G15" s="68"/>
    </row>
    <row r="16" spans="1:7" s="55" customFormat="1" ht="25.5" customHeight="1">
      <c r="A16" s="64">
        <v>24</v>
      </c>
      <c r="B16" s="65"/>
      <c r="C16" s="66"/>
      <c r="D16" s="66"/>
      <c r="E16" s="66"/>
      <c r="F16" s="66"/>
      <c r="G16" s="68"/>
    </row>
    <row r="17" spans="1:7" s="55" customFormat="1" ht="25.5" customHeight="1">
      <c r="A17" s="64">
        <v>25</v>
      </c>
      <c r="B17" s="65"/>
      <c r="C17" s="66"/>
      <c r="D17" s="66"/>
      <c r="E17" s="66"/>
      <c r="F17" s="66"/>
      <c r="G17" s="68"/>
    </row>
    <row r="18" spans="1:7" s="55" customFormat="1" ht="25.5" customHeight="1">
      <c r="A18" s="64">
        <v>26</v>
      </c>
      <c r="B18" s="65"/>
      <c r="C18" s="70"/>
      <c r="D18" s="66"/>
      <c r="E18" s="66"/>
      <c r="F18" s="66"/>
      <c r="G18" s="68"/>
    </row>
    <row r="19" spans="1:7" s="55" customFormat="1" ht="25.5" customHeight="1">
      <c r="A19" s="64">
        <v>27</v>
      </c>
      <c r="B19" s="65"/>
      <c r="C19" s="70"/>
      <c r="D19" s="66"/>
      <c r="E19" s="66"/>
      <c r="F19" s="66"/>
      <c r="G19" s="68"/>
    </row>
    <row r="20" spans="1:7" s="55" customFormat="1" ht="25.5" customHeight="1">
      <c r="A20" s="64">
        <v>28</v>
      </c>
      <c r="B20" s="65"/>
      <c r="C20" s="70"/>
      <c r="D20" s="66"/>
      <c r="E20" s="66"/>
      <c r="F20" s="66"/>
      <c r="G20" s="68"/>
    </row>
    <row r="21" spans="1:7" s="55" customFormat="1" ht="25.5" customHeight="1">
      <c r="A21" s="71" t="s">
        <v>236</v>
      </c>
      <c r="B21" s="71"/>
      <c r="C21" s="71"/>
      <c r="D21" s="71"/>
      <c r="E21" s="71"/>
      <c r="F21" s="71"/>
      <c r="G21" s="71"/>
    </row>
  </sheetData>
  <sheetProtection/>
  <mergeCells count="2">
    <mergeCell ref="A1:G1"/>
    <mergeCell ref="A21:G2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DZ55"/>
  <sheetViews>
    <sheetView zoomScaleSheetLayoutView="100" workbookViewId="0" topLeftCell="A1">
      <pane ySplit="5" topLeftCell="A24" activePane="bottomLeft" state="frozen"/>
      <selection pane="bottomLeft" activeCell="AH30" sqref="AH30"/>
    </sheetView>
  </sheetViews>
  <sheetFormatPr defaultColWidth="9.00390625" defaultRowHeight="14.25"/>
  <cols>
    <col min="2" max="2" width="7.25390625" style="32" customWidth="1"/>
    <col min="3" max="3" width="10.875" style="32" customWidth="1"/>
    <col min="4" max="4" width="9.00390625" style="32" customWidth="1"/>
    <col min="5" max="5" width="10.00390625" style="32" customWidth="1"/>
    <col min="6" max="6" width="9.00390625" style="32" customWidth="1"/>
    <col min="7" max="7" width="9.50390625" style="32" customWidth="1"/>
    <col min="9" max="9" width="7.25390625" style="32" customWidth="1"/>
    <col min="10" max="10" width="10.875" style="32" customWidth="1"/>
    <col min="11" max="11" width="9.00390625" style="32" customWidth="1"/>
    <col min="12" max="12" width="10.00390625" style="32" customWidth="1"/>
    <col min="13" max="13" width="9.00390625" style="32" customWidth="1"/>
    <col min="14" max="14" width="9.50390625" style="32" customWidth="1"/>
    <col min="16" max="16" width="7.25390625" style="32" customWidth="1"/>
    <col min="17" max="17" width="10.875" style="32" customWidth="1"/>
    <col min="18" max="18" width="9.00390625" style="32" customWidth="1"/>
    <col min="19" max="19" width="10.00390625" style="32" customWidth="1"/>
    <col min="20" max="20" width="9.00390625" style="32" customWidth="1"/>
    <col min="21" max="21" width="9.50390625" style="32" customWidth="1"/>
    <col min="23" max="23" width="7.25390625" style="32" customWidth="1"/>
    <col min="24" max="24" width="10.875" style="32" customWidth="1"/>
    <col min="25" max="25" width="9.00390625" style="32" customWidth="1"/>
    <col min="26" max="26" width="10.00390625" style="32" customWidth="1"/>
    <col min="27" max="27" width="9.00390625" style="32" customWidth="1"/>
    <col min="28" max="28" width="9.50390625" style="32" customWidth="1"/>
    <col min="30" max="30" width="7.25390625" style="32" customWidth="1"/>
    <col min="31" max="31" width="10.875" style="32" customWidth="1"/>
    <col min="32" max="32" width="9.00390625" style="32" customWidth="1"/>
    <col min="33" max="33" width="10.00390625" style="32" customWidth="1"/>
    <col min="34" max="34" width="9.00390625" style="32" customWidth="1"/>
    <col min="35" max="35" width="9.50390625" style="32" customWidth="1"/>
    <col min="37" max="37" width="7.25390625" style="32" customWidth="1"/>
    <col min="38" max="38" width="10.875" style="32" customWidth="1"/>
    <col min="39" max="39" width="9.00390625" style="32" customWidth="1"/>
    <col min="40" max="40" width="10.00390625" style="32" customWidth="1"/>
    <col min="41" max="41" width="9.00390625" style="32" customWidth="1"/>
    <col min="42" max="42" width="9.50390625" style="32" customWidth="1"/>
    <col min="49" max="49" width="7.25390625" style="32" customWidth="1"/>
    <col min="50" max="50" width="10.875" style="32" customWidth="1"/>
    <col min="51" max="51" width="9.00390625" style="32" customWidth="1"/>
    <col min="52" max="52" width="10.00390625" style="32" customWidth="1"/>
    <col min="53" max="53" width="9.00390625" style="32" customWidth="1"/>
    <col min="54" max="54" width="9.50390625" style="32" customWidth="1"/>
    <col min="62" max="62" width="7.25390625" style="32" customWidth="1"/>
    <col min="63" max="63" width="10.875" style="32" customWidth="1"/>
    <col min="64" max="64" width="9.00390625" style="32" customWidth="1"/>
    <col min="65" max="65" width="10.00390625" style="32" customWidth="1"/>
    <col min="66" max="66" width="9.00390625" style="32" customWidth="1"/>
    <col min="67" max="67" width="9.50390625" style="32" customWidth="1"/>
    <col min="69" max="69" width="7.25390625" style="32" customWidth="1"/>
    <col min="70" max="70" width="10.875" style="32" customWidth="1"/>
    <col min="71" max="71" width="9.00390625" style="32" customWidth="1"/>
    <col min="72" max="72" width="10.00390625" style="32" customWidth="1"/>
    <col min="73" max="73" width="9.00390625" style="32" customWidth="1"/>
    <col min="74" max="74" width="9.50390625" style="32" customWidth="1"/>
    <col min="76" max="76" width="7.25390625" style="32" customWidth="1"/>
    <col min="77" max="77" width="10.875" style="32" customWidth="1"/>
    <col min="78" max="78" width="9.00390625" style="32" customWidth="1"/>
    <col min="79" max="79" width="10.00390625" style="32" customWidth="1"/>
    <col min="80" max="80" width="9.00390625" style="32" customWidth="1"/>
    <col min="81" max="81" width="9.50390625" style="32" customWidth="1"/>
    <col min="83" max="83" width="7.25390625" style="32" customWidth="1"/>
    <col min="84" max="84" width="10.875" style="32" customWidth="1"/>
    <col min="85" max="85" width="9.00390625" style="32" customWidth="1"/>
    <col min="86" max="86" width="10.00390625" style="32" customWidth="1"/>
    <col min="87" max="87" width="9.00390625" style="32" customWidth="1"/>
    <col min="88" max="88" width="9.50390625" style="32" customWidth="1"/>
    <col min="90" max="90" width="7.25390625" style="32" customWidth="1"/>
    <col min="91" max="91" width="10.875" style="32" customWidth="1"/>
    <col min="92" max="92" width="9.00390625" style="32" customWidth="1"/>
    <col min="93" max="93" width="10.00390625" style="32" customWidth="1"/>
    <col min="94" max="94" width="9.00390625" style="32" customWidth="1"/>
    <col min="95" max="95" width="9.50390625" style="32" customWidth="1"/>
    <col min="97" max="97" width="7.25390625" style="32" customWidth="1"/>
    <col min="98" max="98" width="10.875" style="32" customWidth="1"/>
    <col min="99" max="99" width="9.00390625" style="32" customWidth="1"/>
    <col min="100" max="100" width="10.00390625" style="32" customWidth="1"/>
    <col min="101" max="101" width="9.00390625" style="32" customWidth="1"/>
    <col min="102" max="102" width="9.50390625" style="32" customWidth="1"/>
    <col min="104" max="104" width="7.25390625" style="32" customWidth="1"/>
    <col min="105" max="105" width="10.875" style="32" customWidth="1"/>
    <col min="106" max="106" width="9.00390625" style="32" customWidth="1"/>
    <col min="107" max="107" width="10.00390625" style="32" customWidth="1"/>
    <col min="108" max="108" width="9.00390625" style="32" customWidth="1"/>
    <col min="109" max="109" width="9.50390625" style="32" customWidth="1"/>
    <col min="111" max="111" width="7.25390625" style="32" customWidth="1"/>
    <col min="112" max="112" width="10.875" style="32" customWidth="1"/>
    <col min="113" max="113" width="9.00390625" style="32" customWidth="1"/>
    <col min="114" max="114" width="10.00390625" style="32" customWidth="1"/>
    <col min="115" max="115" width="9.00390625" style="32" customWidth="1"/>
    <col min="116" max="116" width="9.50390625" style="32" customWidth="1"/>
    <col min="118" max="118" width="7.25390625" style="32" customWidth="1"/>
    <col min="119" max="119" width="10.875" style="32" customWidth="1"/>
    <col min="120" max="120" width="9.00390625" style="32" customWidth="1"/>
    <col min="121" max="121" width="10.00390625" style="32" customWidth="1"/>
    <col min="122" max="122" width="9.00390625" style="32" customWidth="1"/>
    <col min="123" max="123" width="9.50390625" style="32" customWidth="1"/>
    <col min="125" max="125" width="7.25390625" style="32" customWidth="1"/>
    <col min="126" max="126" width="10.875" style="32" customWidth="1"/>
    <col min="127" max="127" width="9.00390625" style="32" customWidth="1"/>
    <col min="128" max="128" width="10.00390625" style="32" customWidth="1"/>
    <col min="129" max="129" width="9.00390625" style="32" customWidth="1"/>
    <col min="130" max="130" width="9.50390625" style="32" customWidth="1"/>
  </cols>
  <sheetData>
    <row r="1" spans="2:130" ht="14.25">
      <c r="B1" s="33" t="s">
        <v>237</v>
      </c>
      <c r="C1" s="34"/>
      <c r="D1" s="34"/>
      <c r="E1" s="33" t="s">
        <v>238</v>
      </c>
      <c r="F1" s="34"/>
      <c r="G1" s="34"/>
      <c r="I1" s="33" t="s">
        <v>237</v>
      </c>
      <c r="J1" s="34"/>
      <c r="K1" s="34"/>
      <c r="L1" s="33" t="s">
        <v>238</v>
      </c>
      <c r="M1" s="34"/>
      <c r="N1" s="34"/>
      <c r="P1" s="33" t="s">
        <v>237</v>
      </c>
      <c r="Q1" s="34"/>
      <c r="R1" s="34"/>
      <c r="S1" s="33" t="s">
        <v>238</v>
      </c>
      <c r="T1" s="34"/>
      <c r="U1" s="34"/>
      <c r="W1" s="33" t="s">
        <v>237</v>
      </c>
      <c r="X1" s="34"/>
      <c r="Y1" s="34"/>
      <c r="Z1" s="33" t="s">
        <v>238</v>
      </c>
      <c r="AA1" s="34"/>
      <c r="AB1" s="34"/>
      <c r="AD1" s="33" t="s">
        <v>237</v>
      </c>
      <c r="AE1" s="34"/>
      <c r="AF1" s="34"/>
      <c r="AG1" s="33" t="s">
        <v>238</v>
      </c>
      <c r="AH1" s="34"/>
      <c r="AI1" s="34"/>
      <c r="AK1" s="33" t="s">
        <v>237</v>
      </c>
      <c r="AL1" s="34"/>
      <c r="AM1" s="34"/>
      <c r="AN1" s="33" t="s">
        <v>238</v>
      </c>
      <c r="AO1" s="34"/>
      <c r="AP1" s="34"/>
      <c r="AW1" s="33" t="s">
        <v>237</v>
      </c>
      <c r="AX1" s="34"/>
      <c r="AY1" s="34"/>
      <c r="AZ1" s="33" t="s">
        <v>238</v>
      </c>
      <c r="BA1" s="34"/>
      <c r="BB1" s="34"/>
      <c r="BJ1" s="33" t="s">
        <v>237</v>
      </c>
      <c r="BK1" s="34"/>
      <c r="BL1" s="34"/>
      <c r="BM1" s="33" t="s">
        <v>238</v>
      </c>
      <c r="BN1" s="34"/>
      <c r="BO1" s="34"/>
      <c r="BQ1" s="33" t="s">
        <v>237</v>
      </c>
      <c r="BR1" s="34"/>
      <c r="BS1" s="34"/>
      <c r="BT1" s="33" t="s">
        <v>238</v>
      </c>
      <c r="BU1" s="34"/>
      <c r="BV1" s="34"/>
      <c r="BX1" s="33" t="s">
        <v>237</v>
      </c>
      <c r="BY1" s="34"/>
      <c r="BZ1" s="34"/>
      <c r="CA1" s="33" t="s">
        <v>238</v>
      </c>
      <c r="CB1" s="34"/>
      <c r="CC1" s="34"/>
      <c r="CE1" s="33" t="s">
        <v>237</v>
      </c>
      <c r="CF1" s="34"/>
      <c r="CG1" s="34"/>
      <c r="CH1" s="33" t="s">
        <v>238</v>
      </c>
      <c r="CI1" s="34"/>
      <c r="CJ1" s="34"/>
      <c r="CL1" s="33" t="s">
        <v>237</v>
      </c>
      <c r="CM1" s="34"/>
      <c r="CN1" s="34"/>
      <c r="CO1" s="33" t="s">
        <v>238</v>
      </c>
      <c r="CP1" s="34"/>
      <c r="CQ1" s="34"/>
      <c r="CS1" s="33" t="s">
        <v>237</v>
      </c>
      <c r="CT1" s="34"/>
      <c r="CU1" s="34"/>
      <c r="CV1" s="33" t="s">
        <v>238</v>
      </c>
      <c r="CW1" s="34"/>
      <c r="CX1" s="34"/>
      <c r="CZ1" s="33" t="s">
        <v>237</v>
      </c>
      <c r="DA1" s="34"/>
      <c r="DB1" s="34"/>
      <c r="DC1" s="33" t="s">
        <v>238</v>
      </c>
      <c r="DD1" s="34"/>
      <c r="DE1" s="34"/>
      <c r="DG1" s="33" t="s">
        <v>237</v>
      </c>
      <c r="DH1" s="34"/>
      <c r="DI1" s="34"/>
      <c r="DJ1" s="33" t="s">
        <v>238</v>
      </c>
      <c r="DK1" s="34"/>
      <c r="DL1" s="34"/>
      <c r="DN1" s="33" t="s">
        <v>237</v>
      </c>
      <c r="DO1" s="34"/>
      <c r="DP1" s="34"/>
      <c r="DQ1" s="33" t="s">
        <v>238</v>
      </c>
      <c r="DR1" s="34"/>
      <c r="DS1" s="34"/>
      <c r="DU1" s="33" t="s">
        <v>237</v>
      </c>
      <c r="DV1" s="34"/>
      <c r="DW1" s="34"/>
      <c r="DX1" s="33" t="s">
        <v>238</v>
      </c>
      <c r="DY1" s="34"/>
      <c r="DZ1" s="34"/>
    </row>
    <row r="2" spans="2:130" ht="14.25">
      <c r="B2" s="8">
        <v>1518</v>
      </c>
      <c r="C2" s="6">
        <v>1500</v>
      </c>
      <c r="D2" s="6">
        <v>1800</v>
      </c>
      <c r="E2" s="6">
        <v>1</v>
      </c>
      <c r="F2" s="7">
        <f>E2*D2*C2/1000000</f>
        <v>2.7</v>
      </c>
      <c r="G2" s="35" t="s">
        <v>239</v>
      </c>
      <c r="I2" s="8">
        <v>1521</v>
      </c>
      <c r="J2" s="6">
        <v>1500</v>
      </c>
      <c r="K2" s="6">
        <v>2100</v>
      </c>
      <c r="L2" s="6">
        <v>1</v>
      </c>
      <c r="M2" s="7">
        <f>L2*K2*J2/1000000</f>
        <v>3.15</v>
      </c>
      <c r="N2" s="35" t="s">
        <v>239</v>
      </c>
      <c r="P2" s="8">
        <v>1527</v>
      </c>
      <c r="Q2" s="6">
        <v>1500</v>
      </c>
      <c r="R2" s="6">
        <v>2700</v>
      </c>
      <c r="S2" s="6">
        <v>1</v>
      </c>
      <c r="T2" s="7">
        <f>S2*R2*Q2/1000000</f>
        <v>4.05</v>
      </c>
      <c r="U2" s="35" t="s">
        <v>239</v>
      </c>
      <c r="W2" s="8">
        <v>1530</v>
      </c>
      <c r="X2" s="6">
        <v>1500</v>
      </c>
      <c r="Y2" s="6">
        <v>3000</v>
      </c>
      <c r="Z2" s="6">
        <v>1</v>
      </c>
      <c r="AA2" s="7">
        <f>Z2*Y2*X2/1000000</f>
        <v>4.5</v>
      </c>
      <c r="AB2" s="35" t="s">
        <v>239</v>
      </c>
      <c r="AD2" s="8">
        <v>2718</v>
      </c>
      <c r="AE2" s="6">
        <v>2700</v>
      </c>
      <c r="AF2" s="6">
        <v>1800</v>
      </c>
      <c r="AG2" s="6">
        <v>1</v>
      </c>
      <c r="AH2" s="7">
        <f>AG2*AF2*AE2/1000000</f>
        <v>4.86</v>
      </c>
      <c r="AI2" s="35" t="s">
        <v>239</v>
      </c>
      <c r="AK2" s="8">
        <v>2718</v>
      </c>
      <c r="AL2" s="6">
        <v>2700</v>
      </c>
      <c r="AM2" s="6">
        <v>1800</v>
      </c>
      <c r="AN2" s="6">
        <v>1</v>
      </c>
      <c r="AO2" s="7">
        <f>AN2*AM2*AL2/1000000</f>
        <v>4.86</v>
      </c>
      <c r="AP2" s="35" t="s">
        <v>239</v>
      </c>
      <c r="AW2" s="8">
        <v>2721</v>
      </c>
      <c r="AX2" s="6">
        <v>2700</v>
      </c>
      <c r="AY2" s="6">
        <v>2100</v>
      </c>
      <c r="AZ2" s="6">
        <v>1</v>
      </c>
      <c r="BA2" s="7">
        <f>AZ2*AY2*AX2/1000000</f>
        <v>5.67</v>
      </c>
      <c r="BB2" s="35" t="s">
        <v>239</v>
      </c>
      <c r="BJ2" s="8">
        <v>2721</v>
      </c>
      <c r="BK2" s="6">
        <v>2700</v>
      </c>
      <c r="BL2" s="6">
        <v>2100</v>
      </c>
      <c r="BM2" s="6">
        <v>1</v>
      </c>
      <c r="BN2" s="7">
        <f>BM2*BL2*BK2/1000000</f>
        <v>5.67</v>
      </c>
      <c r="BO2" s="35" t="s">
        <v>239</v>
      </c>
      <c r="BQ2" s="8">
        <v>2726</v>
      </c>
      <c r="BR2" s="6">
        <v>2700</v>
      </c>
      <c r="BS2" s="6">
        <v>2600</v>
      </c>
      <c r="BT2" s="6">
        <v>1</v>
      </c>
      <c r="BU2" s="7">
        <f>BT2*BS2*BR2/1000000</f>
        <v>7.02</v>
      </c>
      <c r="BV2" s="35" t="s">
        <v>239</v>
      </c>
      <c r="BX2" s="8">
        <v>2727</v>
      </c>
      <c r="BY2" s="6">
        <v>2700</v>
      </c>
      <c r="BZ2" s="6">
        <v>2700</v>
      </c>
      <c r="CA2" s="6">
        <v>1</v>
      </c>
      <c r="CB2" s="7">
        <f>CA2*BZ2*BY2/1000000</f>
        <v>7.29</v>
      </c>
      <c r="CC2" s="35" t="s">
        <v>239</v>
      </c>
      <c r="CE2" s="8">
        <v>2727</v>
      </c>
      <c r="CF2" s="6">
        <v>2700</v>
      </c>
      <c r="CG2" s="6">
        <v>2700</v>
      </c>
      <c r="CH2" s="6">
        <v>1</v>
      </c>
      <c r="CI2" s="7">
        <f>CH2*CG2*CF2/1000000</f>
        <v>7.29</v>
      </c>
      <c r="CJ2" s="35" t="s">
        <v>239</v>
      </c>
      <c r="CL2" s="8">
        <v>2730</v>
      </c>
      <c r="CM2" s="6">
        <v>2700</v>
      </c>
      <c r="CN2" s="6">
        <v>3000</v>
      </c>
      <c r="CO2" s="6">
        <v>1</v>
      </c>
      <c r="CP2" s="7">
        <f>CO2*CN2*CM2/1000000</f>
        <v>8.1</v>
      </c>
      <c r="CQ2" s="35" t="s">
        <v>239</v>
      </c>
      <c r="CS2" s="8">
        <v>5418</v>
      </c>
      <c r="CT2" s="6">
        <v>5400</v>
      </c>
      <c r="CU2" s="6">
        <v>1800</v>
      </c>
      <c r="CV2" s="6">
        <v>1</v>
      </c>
      <c r="CW2" s="7">
        <f>CV2*CU2*CT2/1000000</f>
        <v>9.72</v>
      </c>
      <c r="CX2" s="35" t="s">
        <v>239</v>
      </c>
      <c r="CZ2" s="8">
        <v>5418</v>
      </c>
      <c r="DA2" s="6">
        <v>5400</v>
      </c>
      <c r="DB2" s="6">
        <v>1800</v>
      </c>
      <c r="DC2" s="6">
        <v>1</v>
      </c>
      <c r="DD2" s="7">
        <f>DC2*DB2*DA2/1000000</f>
        <v>9.72</v>
      </c>
      <c r="DE2" s="35" t="s">
        <v>239</v>
      </c>
      <c r="DG2" s="8">
        <v>5418</v>
      </c>
      <c r="DH2" s="6">
        <v>5400</v>
      </c>
      <c r="DI2" s="6">
        <v>1800</v>
      </c>
      <c r="DJ2" s="6">
        <v>1</v>
      </c>
      <c r="DK2" s="7">
        <f>DJ2*DI2*DH2/1000000</f>
        <v>9.72</v>
      </c>
      <c r="DL2" s="35" t="s">
        <v>239</v>
      </c>
      <c r="DN2" s="8">
        <v>5421</v>
      </c>
      <c r="DO2" s="6">
        <v>5400</v>
      </c>
      <c r="DP2" s="6">
        <v>2100</v>
      </c>
      <c r="DQ2" s="6">
        <v>1</v>
      </c>
      <c r="DR2" s="7">
        <f>DQ2*DP2*DO2/1000000</f>
        <v>11.34</v>
      </c>
      <c r="DS2" s="35" t="s">
        <v>239</v>
      </c>
      <c r="DU2" s="8">
        <v>5426</v>
      </c>
      <c r="DV2" s="6">
        <v>5400</v>
      </c>
      <c r="DW2" s="6">
        <v>2600</v>
      </c>
      <c r="DX2" s="6">
        <v>1</v>
      </c>
      <c r="DY2" s="7">
        <f>DX2*DW2*DV2/1000000</f>
        <v>14.04</v>
      </c>
      <c r="DZ2" s="35" t="s">
        <v>239</v>
      </c>
    </row>
    <row r="3" spans="2:130" ht="14.25">
      <c r="B3" s="8"/>
      <c r="C3" s="6">
        <f>C2-30</f>
        <v>1470</v>
      </c>
      <c r="D3" s="6">
        <f>D2-30</f>
        <v>1770</v>
      </c>
      <c r="E3" s="6">
        <f>E2</f>
        <v>1</v>
      </c>
      <c r="F3" s="7">
        <f>E3*D3*C3/1000000</f>
        <v>2.6019</v>
      </c>
      <c r="G3" s="8" t="s">
        <v>240</v>
      </c>
      <c r="I3" s="8"/>
      <c r="J3" s="6">
        <f>J2-30</f>
        <v>1470</v>
      </c>
      <c r="K3" s="6">
        <f>K2-30</f>
        <v>2070</v>
      </c>
      <c r="L3" s="6">
        <f>L2</f>
        <v>1</v>
      </c>
      <c r="M3" s="7">
        <f>L3*K3*J3/1000000</f>
        <v>3.0429</v>
      </c>
      <c r="N3" s="8" t="s">
        <v>240</v>
      </c>
      <c r="P3" s="8"/>
      <c r="Q3" s="6">
        <f>Q2-30</f>
        <v>1470</v>
      </c>
      <c r="R3" s="6">
        <f>R2-30</f>
        <v>2670</v>
      </c>
      <c r="S3" s="6">
        <f>S2</f>
        <v>1</v>
      </c>
      <c r="T3" s="7">
        <f>S3*R3*Q3/1000000</f>
        <v>3.9249</v>
      </c>
      <c r="U3" s="8" t="s">
        <v>240</v>
      </c>
      <c r="W3" s="8"/>
      <c r="X3" s="6">
        <f>X2-30</f>
        <v>1470</v>
      </c>
      <c r="Y3" s="6">
        <f>Y2-30</f>
        <v>2970</v>
      </c>
      <c r="Z3" s="6">
        <f>Z2</f>
        <v>1</v>
      </c>
      <c r="AA3" s="7">
        <f>Z3*Y3*X3/1000000</f>
        <v>4.3659</v>
      </c>
      <c r="AB3" s="8" t="s">
        <v>240</v>
      </c>
      <c r="AD3" s="8"/>
      <c r="AE3" s="6">
        <f>AE2-30</f>
        <v>2670</v>
      </c>
      <c r="AF3" s="6">
        <f>AF2-30</f>
        <v>1770</v>
      </c>
      <c r="AG3" s="6">
        <f>AG2</f>
        <v>1</v>
      </c>
      <c r="AH3" s="7">
        <f>AG3*AF3*AE3/1000000</f>
        <v>4.7259</v>
      </c>
      <c r="AI3" s="8" t="s">
        <v>240</v>
      </c>
      <c r="AK3" s="8"/>
      <c r="AL3" s="6">
        <f>AL2-30</f>
        <v>2670</v>
      </c>
      <c r="AM3" s="6">
        <f>AM2-30</f>
        <v>1770</v>
      </c>
      <c r="AN3" s="6">
        <f>AN2</f>
        <v>1</v>
      </c>
      <c r="AO3" s="7">
        <f>AN3*AM3*AL3/1000000</f>
        <v>4.7259</v>
      </c>
      <c r="AP3" s="8" t="s">
        <v>240</v>
      </c>
      <c r="AW3" s="8"/>
      <c r="AX3" s="6">
        <f>AX2-30</f>
        <v>2670</v>
      </c>
      <c r="AY3" s="6">
        <f>AY2-30</f>
        <v>2070</v>
      </c>
      <c r="AZ3" s="6">
        <f>AZ2</f>
        <v>1</v>
      </c>
      <c r="BA3" s="7">
        <f>AZ3*AY3*AX3/1000000</f>
        <v>5.5269</v>
      </c>
      <c r="BB3" s="8" t="s">
        <v>240</v>
      </c>
      <c r="BJ3" s="8"/>
      <c r="BK3" s="6">
        <f>BK2-30</f>
        <v>2670</v>
      </c>
      <c r="BL3" s="6">
        <f>BL2-30</f>
        <v>2070</v>
      </c>
      <c r="BM3" s="6">
        <f>BM2</f>
        <v>1</v>
      </c>
      <c r="BN3" s="7">
        <f>BM3*BL3*BK3/1000000</f>
        <v>5.5269</v>
      </c>
      <c r="BO3" s="8" t="s">
        <v>240</v>
      </c>
      <c r="BQ3" s="8"/>
      <c r="BR3" s="6">
        <f>BR2-30</f>
        <v>2670</v>
      </c>
      <c r="BS3" s="6">
        <f>BS2-30</f>
        <v>2570</v>
      </c>
      <c r="BT3" s="6">
        <f>BT2</f>
        <v>1</v>
      </c>
      <c r="BU3" s="7">
        <f>BT3*BS3*BR3/1000000</f>
        <v>6.8619</v>
      </c>
      <c r="BV3" s="8" t="s">
        <v>240</v>
      </c>
      <c r="BX3" s="8"/>
      <c r="BY3" s="6">
        <f>BY2-30</f>
        <v>2670</v>
      </c>
      <c r="BZ3" s="6">
        <f>BZ2-30</f>
        <v>2670</v>
      </c>
      <c r="CA3" s="6">
        <f>CA2</f>
        <v>1</v>
      </c>
      <c r="CB3" s="7">
        <f>CA3*BZ3*BY3/1000000</f>
        <v>7.1289</v>
      </c>
      <c r="CC3" s="8" t="s">
        <v>240</v>
      </c>
      <c r="CE3" s="8"/>
      <c r="CF3" s="6">
        <f>CF2-30</f>
        <v>2670</v>
      </c>
      <c r="CG3" s="6">
        <f>CG2-30</f>
        <v>2670</v>
      </c>
      <c r="CH3" s="6">
        <f>CH2</f>
        <v>1</v>
      </c>
      <c r="CI3" s="7">
        <f>CH3*CG3*CF3/1000000</f>
        <v>7.1289</v>
      </c>
      <c r="CJ3" s="8" t="s">
        <v>240</v>
      </c>
      <c r="CL3" s="8"/>
      <c r="CM3" s="6">
        <f>CM2-30</f>
        <v>2670</v>
      </c>
      <c r="CN3" s="6">
        <f>CN2-30</f>
        <v>2970</v>
      </c>
      <c r="CO3" s="6">
        <f>CO2</f>
        <v>1</v>
      </c>
      <c r="CP3" s="7">
        <f>CO3*CN3*CM3/1000000</f>
        <v>7.9299</v>
      </c>
      <c r="CQ3" s="8" t="s">
        <v>240</v>
      </c>
      <c r="CS3" s="8"/>
      <c r="CT3" s="6">
        <f>CT2-30</f>
        <v>5370</v>
      </c>
      <c r="CU3" s="6">
        <f>CU2-30</f>
        <v>1770</v>
      </c>
      <c r="CV3" s="6">
        <f>CV2</f>
        <v>1</v>
      </c>
      <c r="CW3" s="7">
        <f>CV3*CU3*CT3/1000000</f>
        <v>9.5049</v>
      </c>
      <c r="CX3" s="8" t="s">
        <v>240</v>
      </c>
      <c r="CZ3" s="8"/>
      <c r="DA3" s="6">
        <f>DA2-30</f>
        <v>5370</v>
      </c>
      <c r="DB3" s="6">
        <f>DB2-30</f>
        <v>1770</v>
      </c>
      <c r="DC3" s="6">
        <f>DC2</f>
        <v>1</v>
      </c>
      <c r="DD3" s="7">
        <f>DC3*DB3*DA3/1000000</f>
        <v>9.5049</v>
      </c>
      <c r="DE3" s="8" t="s">
        <v>240</v>
      </c>
      <c r="DG3" s="8"/>
      <c r="DH3" s="6">
        <f>DH2-30</f>
        <v>5370</v>
      </c>
      <c r="DI3" s="6">
        <f>DI2-30</f>
        <v>1770</v>
      </c>
      <c r="DJ3" s="6">
        <f>DJ2</f>
        <v>1</v>
      </c>
      <c r="DK3" s="7">
        <f>DJ3*DI3*DH3/1000000</f>
        <v>9.5049</v>
      </c>
      <c r="DL3" s="8" t="s">
        <v>240</v>
      </c>
      <c r="DN3" s="8"/>
      <c r="DO3" s="6">
        <f>DO2-30</f>
        <v>5370</v>
      </c>
      <c r="DP3" s="6">
        <f>DP2-30</f>
        <v>2070</v>
      </c>
      <c r="DQ3" s="6">
        <f>DQ2</f>
        <v>1</v>
      </c>
      <c r="DR3" s="7">
        <f>DQ3*DP3*DO3/1000000</f>
        <v>11.1159</v>
      </c>
      <c r="DS3" s="8" t="s">
        <v>240</v>
      </c>
      <c r="DU3" s="8"/>
      <c r="DV3" s="6">
        <f>DV2-30</f>
        <v>5370</v>
      </c>
      <c r="DW3" s="6">
        <f>DW2-30</f>
        <v>2570</v>
      </c>
      <c r="DX3" s="6">
        <f>DX2</f>
        <v>1</v>
      </c>
      <c r="DY3" s="7">
        <f>DX3*DW3*DV3/1000000</f>
        <v>13.8009</v>
      </c>
      <c r="DZ3" s="8" t="s">
        <v>240</v>
      </c>
    </row>
    <row r="4" spans="2:130" ht="14.25">
      <c r="B4" s="6"/>
      <c r="C4" s="6">
        <f>C3</f>
        <v>1470</v>
      </c>
      <c r="D4" s="6">
        <f>D3</f>
        <v>1770</v>
      </c>
      <c r="E4" s="6">
        <v>1</v>
      </c>
      <c r="F4" s="9">
        <f>E4*D4*C4/1000000</f>
        <v>2.6019</v>
      </c>
      <c r="G4" s="35" t="s">
        <v>241</v>
      </c>
      <c r="I4" s="6"/>
      <c r="J4" s="6">
        <f>J3</f>
        <v>1470</v>
      </c>
      <c r="K4" s="6">
        <f>K3</f>
        <v>2070</v>
      </c>
      <c r="L4" s="6">
        <v>1</v>
      </c>
      <c r="M4" s="9">
        <f>L4*K4*J4/1000000</f>
        <v>3.0429</v>
      </c>
      <c r="N4" s="35" t="s">
        <v>241</v>
      </c>
      <c r="P4" s="6"/>
      <c r="Q4" s="6">
        <f>Q3</f>
        <v>1470</v>
      </c>
      <c r="R4" s="6">
        <f>R3</f>
        <v>2670</v>
      </c>
      <c r="S4" s="6">
        <v>1</v>
      </c>
      <c r="T4" s="9">
        <f>S4*R4*Q4/1000000</f>
        <v>3.9249</v>
      </c>
      <c r="U4" s="35" t="s">
        <v>241</v>
      </c>
      <c r="W4" s="6"/>
      <c r="X4" s="6">
        <f>X3</f>
        <v>1470</v>
      </c>
      <c r="Y4" s="6">
        <f>Y3</f>
        <v>2970</v>
      </c>
      <c r="Z4" s="6">
        <v>1</v>
      </c>
      <c r="AA4" s="9">
        <f>Z4*Y4*X4/1000000</f>
        <v>4.3659</v>
      </c>
      <c r="AB4" s="35" t="s">
        <v>241</v>
      </c>
      <c r="AD4" s="6"/>
      <c r="AE4" s="6">
        <f>AE3</f>
        <v>2670</v>
      </c>
      <c r="AF4" s="6">
        <f>AF3</f>
        <v>1770</v>
      </c>
      <c r="AG4" s="6">
        <v>1</v>
      </c>
      <c r="AH4" s="9">
        <f>AG4*AF4*AE4/1000000</f>
        <v>4.7259</v>
      </c>
      <c r="AI4" s="35" t="s">
        <v>241</v>
      </c>
      <c r="AK4" s="6"/>
      <c r="AL4" s="6">
        <f>AL3</f>
        <v>2670</v>
      </c>
      <c r="AM4" s="6">
        <f>AM3</f>
        <v>1770</v>
      </c>
      <c r="AN4" s="6">
        <v>1</v>
      </c>
      <c r="AO4" s="9">
        <f>AN4*AM4*AL4/1000000</f>
        <v>4.7259</v>
      </c>
      <c r="AP4" s="35" t="s">
        <v>241</v>
      </c>
      <c r="AW4" s="6"/>
      <c r="AX4" s="6">
        <f>AX3</f>
        <v>2670</v>
      </c>
      <c r="AY4" s="6">
        <f>AY3</f>
        <v>2070</v>
      </c>
      <c r="AZ4" s="6">
        <v>1</v>
      </c>
      <c r="BA4" s="9">
        <f>AZ4*AY4*AX4/1000000</f>
        <v>5.5269</v>
      </c>
      <c r="BB4" s="35" t="s">
        <v>241</v>
      </c>
      <c r="BJ4" s="6"/>
      <c r="BK4" s="6">
        <f>BK3</f>
        <v>2670</v>
      </c>
      <c r="BL4" s="6">
        <f>BL3</f>
        <v>2070</v>
      </c>
      <c r="BM4" s="6">
        <v>1</v>
      </c>
      <c r="BN4" s="9">
        <f>BM4*BL4*BK4/1000000</f>
        <v>5.5269</v>
      </c>
      <c r="BO4" s="35" t="s">
        <v>241</v>
      </c>
      <c r="BQ4" s="6"/>
      <c r="BR4" s="6">
        <f>BR3</f>
        <v>2670</v>
      </c>
      <c r="BS4" s="6">
        <f>BS3</f>
        <v>2570</v>
      </c>
      <c r="BT4" s="6">
        <v>1</v>
      </c>
      <c r="BU4" s="9">
        <f>BT4*BS4*BR4/1000000</f>
        <v>6.8619</v>
      </c>
      <c r="BV4" s="35" t="s">
        <v>241</v>
      </c>
      <c r="BX4" s="6"/>
      <c r="BY4" s="6">
        <f>BY3</f>
        <v>2670</v>
      </c>
      <c r="BZ4" s="6">
        <f>BZ3</f>
        <v>2670</v>
      </c>
      <c r="CA4" s="6">
        <v>1</v>
      </c>
      <c r="CB4" s="9">
        <f>CA4*BZ4*BY4/1000000</f>
        <v>7.1289</v>
      </c>
      <c r="CC4" s="35" t="s">
        <v>241</v>
      </c>
      <c r="CE4" s="6"/>
      <c r="CF4" s="6">
        <f>CF3</f>
        <v>2670</v>
      </c>
      <c r="CG4" s="6">
        <f>CG3</f>
        <v>2670</v>
      </c>
      <c r="CH4" s="6">
        <v>1</v>
      </c>
      <c r="CI4" s="9">
        <f>CH4*CG4*CF4/1000000</f>
        <v>7.1289</v>
      </c>
      <c r="CJ4" s="35" t="s">
        <v>241</v>
      </c>
      <c r="CL4" s="6"/>
      <c r="CM4" s="6">
        <f>CM3</f>
        <v>2670</v>
      </c>
      <c r="CN4" s="6">
        <f>CN3</f>
        <v>2970</v>
      </c>
      <c r="CO4" s="6">
        <v>1</v>
      </c>
      <c r="CP4" s="9">
        <f>CO4*CN4*CM4/1000000</f>
        <v>7.9299</v>
      </c>
      <c r="CQ4" s="35" t="s">
        <v>241</v>
      </c>
      <c r="CS4" s="6"/>
      <c r="CT4" s="6">
        <f>CT3</f>
        <v>5370</v>
      </c>
      <c r="CU4" s="6">
        <f>CU3</f>
        <v>1770</v>
      </c>
      <c r="CV4" s="6">
        <v>1</v>
      </c>
      <c r="CW4" s="9">
        <f>CV4*CU4*CT4/1000000</f>
        <v>9.5049</v>
      </c>
      <c r="CX4" s="35" t="s">
        <v>241</v>
      </c>
      <c r="CZ4" s="6"/>
      <c r="DA4" s="6">
        <f>DA3</f>
        <v>5370</v>
      </c>
      <c r="DB4" s="6">
        <f>DB3</f>
        <v>1770</v>
      </c>
      <c r="DC4" s="6">
        <v>1</v>
      </c>
      <c r="DD4" s="9">
        <f>DC4*DB4*DA4/1000000</f>
        <v>9.5049</v>
      </c>
      <c r="DE4" s="35" t="s">
        <v>241</v>
      </c>
      <c r="DG4" s="6"/>
      <c r="DH4" s="6">
        <f>DH3</f>
        <v>5370</v>
      </c>
      <c r="DI4" s="6">
        <f>DI3</f>
        <v>1770</v>
      </c>
      <c r="DJ4" s="6">
        <v>1</v>
      </c>
      <c r="DK4" s="9">
        <f>DJ4*DI4*DH4/1000000</f>
        <v>9.5049</v>
      </c>
      <c r="DL4" s="35" t="s">
        <v>241</v>
      </c>
      <c r="DN4" s="6"/>
      <c r="DO4" s="6">
        <f>DO3</f>
        <v>5370</v>
      </c>
      <c r="DP4" s="6">
        <f>DP3</f>
        <v>2070</v>
      </c>
      <c r="DQ4" s="6">
        <v>1</v>
      </c>
      <c r="DR4" s="9">
        <f>DQ4*DP4*DO4/1000000</f>
        <v>11.1159</v>
      </c>
      <c r="DS4" s="35" t="s">
        <v>241</v>
      </c>
      <c r="DU4" s="6"/>
      <c r="DV4" s="6">
        <f>DV3</f>
        <v>5370</v>
      </c>
      <c r="DW4" s="6">
        <f>DW3</f>
        <v>2570</v>
      </c>
      <c r="DX4" s="6">
        <v>1</v>
      </c>
      <c r="DY4" s="9">
        <f>DX4*DW4*DV4/1000000</f>
        <v>13.8009</v>
      </c>
      <c r="DZ4" s="35" t="s">
        <v>241</v>
      </c>
    </row>
    <row r="5" spans="2:130" ht="14.25">
      <c r="B5" s="6"/>
      <c r="C5" s="6">
        <f>D4-D5</f>
        <v>470</v>
      </c>
      <c r="D5" s="6">
        <v>1300</v>
      </c>
      <c r="E5" s="6"/>
      <c r="F5" s="6"/>
      <c r="G5" s="6"/>
      <c r="I5" s="6"/>
      <c r="J5" s="6">
        <f>K4-K5</f>
        <v>570</v>
      </c>
      <c r="K5" s="6">
        <v>1500</v>
      </c>
      <c r="L5" s="6"/>
      <c r="M5" s="6"/>
      <c r="N5" s="6"/>
      <c r="P5" s="6"/>
      <c r="Q5" s="6">
        <f>R4-R5</f>
        <v>1170</v>
      </c>
      <c r="R5" s="6">
        <v>1500</v>
      </c>
      <c r="S5" s="6"/>
      <c r="T5" s="6"/>
      <c r="U5" s="6"/>
      <c r="W5" s="6"/>
      <c r="X5" s="6">
        <f>Y4-Y5</f>
        <v>1470</v>
      </c>
      <c r="Y5" s="6">
        <v>1500</v>
      </c>
      <c r="Z5" s="6"/>
      <c r="AA5" s="6"/>
      <c r="AB5" s="6"/>
      <c r="AD5" s="6"/>
      <c r="AE5" s="6">
        <f>AF4-AF5</f>
        <v>470</v>
      </c>
      <c r="AF5" s="6">
        <v>1300</v>
      </c>
      <c r="AG5" s="6"/>
      <c r="AH5" s="6"/>
      <c r="AI5" s="6"/>
      <c r="AK5" s="6"/>
      <c r="AL5" s="6">
        <f>AM4-AM5</f>
        <v>470</v>
      </c>
      <c r="AM5" s="6">
        <v>1300</v>
      </c>
      <c r="AN5" s="6"/>
      <c r="AO5" s="6"/>
      <c r="AP5" s="6"/>
      <c r="AW5" s="6"/>
      <c r="AX5" s="6">
        <f>AY4-AY5</f>
        <v>590</v>
      </c>
      <c r="AY5" s="6">
        <v>1480</v>
      </c>
      <c r="AZ5" s="6"/>
      <c r="BA5" s="6"/>
      <c r="BB5" s="6"/>
      <c r="BJ5" s="6"/>
      <c r="BK5" s="6">
        <f>BL4-BL5</f>
        <v>590</v>
      </c>
      <c r="BL5" s="6">
        <v>1480</v>
      </c>
      <c r="BM5" s="6"/>
      <c r="BN5" s="6"/>
      <c r="BO5" s="6"/>
      <c r="BQ5" s="6"/>
      <c r="BR5" s="6">
        <f>BS4-BS5</f>
        <v>1090</v>
      </c>
      <c r="BS5" s="6">
        <v>1480</v>
      </c>
      <c r="BT5" s="6"/>
      <c r="BU5" s="6"/>
      <c r="BV5" s="6"/>
      <c r="BX5" s="6"/>
      <c r="BY5" s="6">
        <f>BZ4-BZ5</f>
        <v>1190</v>
      </c>
      <c r="BZ5" s="6">
        <v>1480</v>
      </c>
      <c r="CA5" s="6"/>
      <c r="CB5" s="6"/>
      <c r="CC5" s="6"/>
      <c r="CE5" s="6"/>
      <c r="CF5" s="6">
        <f>CG4-CG5</f>
        <v>1190</v>
      </c>
      <c r="CG5" s="6">
        <v>1480</v>
      </c>
      <c r="CH5" s="6"/>
      <c r="CI5" s="6"/>
      <c r="CJ5" s="6"/>
      <c r="CL5" s="6"/>
      <c r="CM5" s="6">
        <f>CN4-CN5</f>
        <v>1490</v>
      </c>
      <c r="CN5" s="6">
        <v>1480</v>
      </c>
      <c r="CO5" s="6"/>
      <c r="CP5" s="6"/>
      <c r="CQ5" s="6"/>
      <c r="CS5" s="6"/>
      <c r="CT5" s="6">
        <f>CU4-CU5</f>
        <v>470</v>
      </c>
      <c r="CU5" s="6">
        <v>1300</v>
      </c>
      <c r="CV5" s="6"/>
      <c r="CW5" s="6"/>
      <c r="CX5" s="6"/>
      <c r="CZ5" s="6"/>
      <c r="DA5" s="6">
        <f>DB4-DB5</f>
        <v>470</v>
      </c>
      <c r="DB5" s="6">
        <v>1300</v>
      </c>
      <c r="DC5" s="6"/>
      <c r="DD5" s="6"/>
      <c r="DE5" s="6"/>
      <c r="DG5" s="6"/>
      <c r="DH5" s="6">
        <f>DI4-DI5</f>
        <v>470</v>
      </c>
      <c r="DI5" s="6">
        <v>1300</v>
      </c>
      <c r="DJ5" s="6"/>
      <c r="DK5" s="6"/>
      <c r="DL5" s="6"/>
      <c r="DN5" s="6"/>
      <c r="DO5" s="6">
        <f>DP4-DP5</f>
        <v>570</v>
      </c>
      <c r="DP5" s="6">
        <v>1500</v>
      </c>
      <c r="DQ5" s="6"/>
      <c r="DR5" s="6"/>
      <c r="DS5" s="6"/>
      <c r="DU5" s="6"/>
      <c r="DV5" s="6">
        <f>DW4-DW5</f>
        <v>1070</v>
      </c>
      <c r="DW5" s="6">
        <v>1500</v>
      </c>
      <c r="DX5" s="6"/>
      <c r="DY5" s="6"/>
      <c r="DZ5" s="6"/>
    </row>
    <row r="6" spans="2:130" ht="14.25">
      <c r="B6" s="36" t="s">
        <v>242</v>
      </c>
      <c r="C6" s="37" t="s">
        <v>243</v>
      </c>
      <c r="D6" s="37"/>
      <c r="E6" s="6"/>
      <c r="F6" s="6"/>
      <c r="G6" s="6"/>
      <c r="I6" s="36" t="s">
        <v>242</v>
      </c>
      <c r="J6" s="37" t="s">
        <v>243</v>
      </c>
      <c r="K6" s="37"/>
      <c r="L6" s="6"/>
      <c r="M6" s="6"/>
      <c r="N6" s="6"/>
      <c r="P6" s="36" t="s">
        <v>242</v>
      </c>
      <c r="Q6" s="37" t="s">
        <v>243</v>
      </c>
      <c r="R6" s="37"/>
      <c r="S6" s="6"/>
      <c r="T6" s="6"/>
      <c r="U6" s="6"/>
      <c r="W6" s="36" t="s">
        <v>242</v>
      </c>
      <c r="X6" s="37" t="s">
        <v>243</v>
      </c>
      <c r="Y6" s="37"/>
      <c r="Z6" s="6"/>
      <c r="AA6" s="6"/>
      <c r="AB6" s="6"/>
      <c r="AD6" s="36" t="s">
        <v>242</v>
      </c>
      <c r="AE6" s="37" t="s">
        <v>243</v>
      </c>
      <c r="AF6" s="37"/>
      <c r="AG6" s="6"/>
      <c r="AH6" s="6"/>
      <c r="AI6" s="6"/>
      <c r="AK6" s="36" t="s">
        <v>242</v>
      </c>
      <c r="AL6" s="37" t="s">
        <v>243</v>
      </c>
      <c r="AM6" s="37"/>
      <c r="AN6" s="6"/>
      <c r="AO6" s="6"/>
      <c r="AP6" s="6"/>
      <c r="AW6" s="36" t="s">
        <v>242</v>
      </c>
      <c r="AX6" s="37" t="s">
        <v>243</v>
      </c>
      <c r="AY6" s="37"/>
      <c r="AZ6" s="6"/>
      <c r="BA6" s="6"/>
      <c r="BB6" s="6"/>
      <c r="BJ6" s="36" t="s">
        <v>242</v>
      </c>
      <c r="BK6" s="37" t="s">
        <v>243</v>
      </c>
      <c r="BL6" s="37"/>
      <c r="BM6" s="6"/>
      <c r="BN6" s="6"/>
      <c r="BO6" s="6"/>
      <c r="BQ6" s="36" t="s">
        <v>242</v>
      </c>
      <c r="BR6" s="37" t="s">
        <v>243</v>
      </c>
      <c r="BS6" s="37"/>
      <c r="BT6" s="6"/>
      <c r="BU6" s="6"/>
      <c r="BV6" s="6"/>
      <c r="BX6" s="36" t="s">
        <v>242</v>
      </c>
      <c r="BY6" s="37" t="s">
        <v>243</v>
      </c>
      <c r="BZ6" s="37"/>
      <c r="CA6" s="6"/>
      <c r="CB6" s="6"/>
      <c r="CC6" s="6"/>
      <c r="CE6" s="36" t="s">
        <v>242</v>
      </c>
      <c r="CF6" s="37" t="s">
        <v>243</v>
      </c>
      <c r="CG6" s="37"/>
      <c r="CH6" s="6"/>
      <c r="CI6" s="6"/>
      <c r="CJ6" s="6"/>
      <c r="CL6" s="36" t="s">
        <v>242</v>
      </c>
      <c r="CM6" s="37" t="s">
        <v>243</v>
      </c>
      <c r="CN6" s="37"/>
      <c r="CO6" s="6"/>
      <c r="CP6" s="6"/>
      <c r="CQ6" s="6"/>
      <c r="CS6" s="36" t="s">
        <v>242</v>
      </c>
      <c r="CT6" s="37" t="s">
        <v>243</v>
      </c>
      <c r="CU6" s="37"/>
      <c r="CV6" s="6"/>
      <c r="CW6" s="6"/>
      <c r="CX6" s="6"/>
      <c r="CZ6" s="36" t="s">
        <v>242</v>
      </c>
      <c r="DA6" s="37" t="s">
        <v>243</v>
      </c>
      <c r="DB6" s="37"/>
      <c r="DC6" s="6"/>
      <c r="DD6" s="6"/>
      <c r="DE6" s="6"/>
      <c r="DG6" s="36" t="s">
        <v>242</v>
      </c>
      <c r="DH6" s="37" t="s">
        <v>243</v>
      </c>
      <c r="DI6" s="37"/>
      <c r="DJ6" s="6"/>
      <c r="DK6" s="6"/>
      <c r="DL6" s="6"/>
      <c r="DN6" s="36" t="s">
        <v>242</v>
      </c>
      <c r="DO6" s="37" t="s">
        <v>243</v>
      </c>
      <c r="DP6" s="37"/>
      <c r="DQ6" s="6"/>
      <c r="DR6" s="6"/>
      <c r="DS6" s="6"/>
      <c r="DU6" s="36" t="s">
        <v>242</v>
      </c>
      <c r="DV6" s="37" t="s">
        <v>243</v>
      </c>
      <c r="DW6" s="37"/>
      <c r="DX6" s="6"/>
      <c r="DY6" s="6"/>
      <c r="DZ6" s="6"/>
    </row>
    <row r="7" spans="2:130" ht="14.25">
      <c r="B7" s="29" t="s">
        <v>1</v>
      </c>
      <c r="C7" s="29" t="s">
        <v>244</v>
      </c>
      <c r="D7" s="29" t="s">
        <v>245</v>
      </c>
      <c r="E7" s="29" t="s">
        <v>160</v>
      </c>
      <c r="F7" s="29" t="s">
        <v>246</v>
      </c>
      <c r="G7" s="29" t="s">
        <v>247</v>
      </c>
      <c r="I7" s="29" t="s">
        <v>1</v>
      </c>
      <c r="J7" s="29" t="s">
        <v>244</v>
      </c>
      <c r="K7" s="29" t="s">
        <v>245</v>
      </c>
      <c r="L7" s="29" t="s">
        <v>160</v>
      </c>
      <c r="M7" s="29" t="s">
        <v>246</v>
      </c>
      <c r="N7" s="29" t="s">
        <v>247</v>
      </c>
      <c r="P7" s="29" t="s">
        <v>1</v>
      </c>
      <c r="Q7" s="29" t="s">
        <v>244</v>
      </c>
      <c r="R7" s="29" t="s">
        <v>245</v>
      </c>
      <c r="S7" s="29" t="s">
        <v>160</v>
      </c>
      <c r="T7" s="29" t="s">
        <v>246</v>
      </c>
      <c r="U7" s="29" t="s">
        <v>247</v>
      </c>
      <c r="W7" s="29" t="s">
        <v>1</v>
      </c>
      <c r="X7" s="29" t="s">
        <v>244</v>
      </c>
      <c r="Y7" s="29" t="s">
        <v>245</v>
      </c>
      <c r="Z7" s="29" t="s">
        <v>160</v>
      </c>
      <c r="AA7" s="29" t="s">
        <v>246</v>
      </c>
      <c r="AB7" s="29" t="s">
        <v>247</v>
      </c>
      <c r="AD7" s="29" t="s">
        <v>1</v>
      </c>
      <c r="AE7" s="29" t="s">
        <v>244</v>
      </c>
      <c r="AF7" s="29" t="s">
        <v>245</v>
      </c>
      <c r="AG7" s="29" t="s">
        <v>160</v>
      </c>
      <c r="AH7" s="29" t="s">
        <v>246</v>
      </c>
      <c r="AI7" s="29" t="s">
        <v>247</v>
      </c>
      <c r="AK7" s="29" t="s">
        <v>1</v>
      </c>
      <c r="AL7" s="29" t="s">
        <v>244</v>
      </c>
      <c r="AM7" s="29" t="s">
        <v>245</v>
      </c>
      <c r="AN7" s="29" t="s">
        <v>160</v>
      </c>
      <c r="AO7" s="29" t="s">
        <v>246</v>
      </c>
      <c r="AP7" s="29" t="s">
        <v>247</v>
      </c>
      <c r="AW7" s="29" t="s">
        <v>1</v>
      </c>
      <c r="AX7" s="29" t="s">
        <v>244</v>
      </c>
      <c r="AY7" s="29" t="s">
        <v>245</v>
      </c>
      <c r="AZ7" s="29" t="s">
        <v>160</v>
      </c>
      <c r="BA7" s="29" t="s">
        <v>246</v>
      </c>
      <c r="BB7" s="29" t="s">
        <v>247</v>
      </c>
      <c r="BJ7" s="29" t="s">
        <v>1</v>
      </c>
      <c r="BK7" s="29" t="s">
        <v>244</v>
      </c>
      <c r="BL7" s="29" t="s">
        <v>245</v>
      </c>
      <c r="BM7" s="29" t="s">
        <v>160</v>
      </c>
      <c r="BN7" s="29" t="s">
        <v>246</v>
      </c>
      <c r="BO7" s="29" t="s">
        <v>247</v>
      </c>
      <c r="BQ7" s="29" t="s">
        <v>1</v>
      </c>
      <c r="BR7" s="29" t="s">
        <v>244</v>
      </c>
      <c r="BS7" s="29" t="s">
        <v>245</v>
      </c>
      <c r="BT7" s="29" t="s">
        <v>160</v>
      </c>
      <c r="BU7" s="29" t="s">
        <v>246</v>
      </c>
      <c r="BV7" s="29" t="s">
        <v>247</v>
      </c>
      <c r="BX7" s="29" t="s">
        <v>1</v>
      </c>
      <c r="BY7" s="29" t="s">
        <v>244</v>
      </c>
      <c r="BZ7" s="29" t="s">
        <v>245</v>
      </c>
      <c r="CA7" s="29" t="s">
        <v>160</v>
      </c>
      <c r="CB7" s="29" t="s">
        <v>246</v>
      </c>
      <c r="CC7" s="29" t="s">
        <v>247</v>
      </c>
      <c r="CE7" s="29" t="s">
        <v>1</v>
      </c>
      <c r="CF7" s="29" t="s">
        <v>244</v>
      </c>
      <c r="CG7" s="29" t="s">
        <v>245</v>
      </c>
      <c r="CH7" s="29" t="s">
        <v>160</v>
      </c>
      <c r="CI7" s="29" t="s">
        <v>246</v>
      </c>
      <c r="CJ7" s="29" t="s">
        <v>247</v>
      </c>
      <c r="CL7" s="29" t="s">
        <v>1</v>
      </c>
      <c r="CM7" s="29" t="s">
        <v>244</v>
      </c>
      <c r="CN7" s="29" t="s">
        <v>245</v>
      </c>
      <c r="CO7" s="29" t="s">
        <v>160</v>
      </c>
      <c r="CP7" s="29" t="s">
        <v>246</v>
      </c>
      <c r="CQ7" s="29" t="s">
        <v>247</v>
      </c>
      <c r="CS7" s="29" t="s">
        <v>1</v>
      </c>
      <c r="CT7" s="29" t="s">
        <v>244</v>
      </c>
      <c r="CU7" s="29" t="s">
        <v>245</v>
      </c>
      <c r="CV7" s="29" t="s">
        <v>160</v>
      </c>
      <c r="CW7" s="29" t="s">
        <v>246</v>
      </c>
      <c r="CX7" s="29" t="s">
        <v>247</v>
      </c>
      <c r="CZ7" s="29" t="s">
        <v>1</v>
      </c>
      <c r="DA7" s="29" t="s">
        <v>244</v>
      </c>
      <c r="DB7" s="29" t="s">
        <v>245</v>
      </c>
      <c r="DC7" s="29" t="s">
        <v>160</v>
      </c>
      <c r="DD7" s="29" t="s">
        <v>246</v>
      </c>
      <c r="DE7" s="29" t="s">
        <v>247</v>
      </c>
      <c r="DG7" s="29" t="s">
        <v>1</v>
      </c>
      <c r="DH7" s="29" t="s">
        <v>244</v>
      </c>
      <c r="DI7" s="29" t="s">
        <v>245</v>
      </c>
      <c r="DJ7" s="29" t="s">
        <v>160</v>
      </c>
      <c r="DK7" s="29" t="s">
        <v>246</v>
      </c>
      <c r="DL7" s="29" t="s">
        <v>247</v>
      </c>
      <c r="DN7" s="29" t="s">
        <v>1</v>
      </c>
      <c r="DO7" s="29" t="s">
        <v>244</v>
      </c>
      <c r="DP7" s="29" t="s">
        <v>245</v>
      </c>
      <c r="DQ7" s="29" t="s">
        <v>160</v>
      </c>
      <c r="DR7" s="29" t="s">
        <v>246</v>
      </c>
      <c r="DS7" s="29" t="s">
        <v>247</v>
      </c>
      <c r="DU7" s="29" t="s">
        <v>1</v>
      </c>
      <c r="DV7" s="29" t="s">
        <v>244</v>
      </c>
      <c r="DW7" s="29" t="s">
        <v>245</v>
      </c>
      <c r="DX7" s="29" t="s">
        <v>160</v>
      </c>
      <c r="DY7" s="29" t="s">
        <v>246</v>
      </c>
      <c r="DZ7" s="29" t="s">
        <v>247</v>
      </c>
    </row>
    <row r="8" spans="2:130" ht="14.25">
      <c r="B8" s="38">
        <v>1</v>
      </c>
      <c r="C8" s="29" t="s">
        <v>248</v>
      </c>
      <c r="D8" s="38">
        <f>D4</f>
        <v>1770</v>
      </c>
      <c r="E8" s="38">
        <f>E4*2</f>
        <v>2</v>
      </c>
      <c r="F8" s="39">
        <v>0.778</v>
      </c>
      <c r="G8" s="30">
        <f aca="true" t="shared" si="0" ref="G8:G16">F8*E8*D8/1000</f>
        <v>2.75412</v>
      </c>
      <c r="I8" s="38">
        <v>1</v>
      </c>
      <c r="J8" s="29" t="s">
        <v>248</v>
      </c>
      <c r="K8" s="38">
        <f>K4</f>
        <v>2070</v>
      </c>
      <c r="L8" s="38">
        <f>L4*2</f>
        <v>2</v>
      </c>
      <c r="M8" s="39">
        <v>0.778</v>
      </c>
      <c r="N8" s="30">
        <f aca="true" t="shared" si="1" ref="N8:N16">M8*L8*K8/1000</f>
        <v>3.22092</v>
      </c>
      <c r="P8" s="38">
        <v>1</v>
      </c>
      <c r="Q8" s="29" t="s">
        <v>248</v>
      </c>
      <c r="R8" s="38">
        <f>R4</f>
        <v>2670</v>
      </c>
      <c r="S8" s="38">
        <f>S4*2</f>
        <v>2</v>
      </c>
      <c r="T8" s="39">
        <v>0.778</v>
      </c>
      <c r="U8" s="30">
        <f aca="true" t="shared" si="2" ref="U8:U16">T8*S8*R8/1000</f>
        <v>4.154520000000001</v>
      </c>
      <c r="W8" s="38">
        <v>1</v>
      </c>
      <c r="X8" s="29" t="s">
        <v>248</v>
      </c>
      <c r="Y8" s="38">
        <f>Y4</f>
        <v>2970</v>
      </c>
      <c r="Z8" s="38">
        <f>Z4*2</f>
        <v>2</v>
      </c>
      <c r="AA8" s="39">
        <v>0.778</v>
      </c>
      <c r="AB8" s="30">
        <f aca="true" t="shared" si="3" ref="AB8:AB16">AA8*Z8*Y8/1000</f>
        <v>4.62132</v>
      </c>
      <c r="AD8" s="38">
        <v>1</v>
      </c>
      <c r="AE8" s="29" t="s">
        <v>248</v>
      </c>
      <c r="AF8" s="38">
        <f>AF4</f>
        <v>1770</v>
      </c>
      <c r="AG8" s="38">
        <f>AG4*2</f>
        <v>2</v>
      </c>
      <c r="AH8" s="39">
        <v>0.778</v>
      </c>
      <c r="AI8" s="30">
        <f aca="true" t="shared" si="4" ref="AI8:AI16">AH8*AG8*AF8/1000</f>
        <v>2.75412</v>
      </c>
      <c r="AK8" s="38">
        <v>1</v>
      </c>
      <c r="AL8" s="29" t="s">
        <v>248</v>
      </c>
      <c r="AM8" s="38">
        <f>AM4</f>
        <v>1770</v>
      </c>
      <c r="AN8" s="38">
        <f>AN4*2</f>
        <v>2</v>
      </c>
      <c r="AO8" s="39">
        <v>0.778</v>
      </c>
      <c r="AP8" s="30">
        <f aca="true" t="shared" si="5" ref="AP8:AP16">AO8*AN8*AM8/1000</f>
        <v>2.75412</v>
      </c>
      <c r="AW8" s="38">
        <v>1</v>
      </c>
      <c r="AX8" s="29" t="s">
        <v>248</v>
      </c>
      <c r="AY8" s="38">
        <f>AY4</f>
        <v>2070</v>
      </c>
      <c r="AZ8" s="38">
        <f>AZ4*2</f>
        <v>2</v>
      </c>
      <c r="BA8" s="39">
        <v>0.778</v>
      </c>
      <c r="BB8" s="30">
        <f aca="true" t="shared" si="6" ref="BB8:BB16">BA8*AZ8*AY8/1000</f>
        <v>3.22092</v>
      </c>
      <c r="BJ8" s="38">
        <v>1</v>
      </c>
      <c r="BK8" s="29" t="s">
        <v>248</v>
      </c>
      <c r="BL8" s="38">
        <f>BL4</f>
        <v>2070</v>
      </c>
      <c r="BM8" s="38">
        <f>BM4*2</f>
        <v>2</v>
      </c>
      <c r="BN8" s="39">
        <v>0.778</v>
      </c>
      <c r="BO8" s="30">
        <f aca="true" t="shared" si="7" ref="BO8:BO16">BN8*BM8*BL8/1000</f>
        <v>3.22092</v>
      </c>
      <c r="BQ8" s="38">
        <v>1</v>
      </c>
      <c r="BR8" s="29" t="s">
        <v>248</v>
      </c>
      <c r="BS8" s="38">
        <f>BS4</f>
        <v>2570</v>
      </c>
      <c r="BT8" s="38">
        <f>BT4*2</f>
        <v>2</v>
      </c>
      <c r="BU8" s="39">
        <v>0.778</v>
      </c>
      <c r="BV8" s="30">
        <f aca="true" t="shared" si="8" ref="BV8:BV16">BU8*BT8*BS8/1000</f>
        <v>3.99892</v>
      </c>
      <c r="BX8" s="38">
        <v>1</v>
      </c>
      <c r="BY8" s="29" t="s">
        <v>248</v>
      </c>
      <c r="BZ8" s="38">
        <f>BZ4</f>
        <v>2670</v>
      </c>
      <c r="CA8" s="38">
        <f>CA4*2</f>
        <v>2</v>
      </c>
      <c r="CB8" s="39">
        <v>0.778</v>
      </c>
      <c r="CC8" s="30">
        <f aca="true" t="shared" si="9" ref="CC8:CC16">CB8*CA8*BZ8/1000</f>
        <v>4.154520000000001</v>
      </c>
      <c r="CE8" s="38">
        <v>1</v>
      </c>
      <c r="CF8" s="29" t="s">
        <v>248</v>
      </c>
      <c r="CG8" s="38">
        <f>CG4</f>
        <v>2670</v>
      </c>
      <c r="CH8" s="38">
        <f>CH4*2</f>
        <v>2</v>
      </c>
      <c r="CI8" s="39">
        <v>0.778</v>
      </c>
      <c r="CJ8" s="30">
        <f aca="true" t="shared" si="10" ref="CJ8:CJ16">CI8*CH8*CG8/1000</f>
        <v>4.154520000000001</v>
      </c>
      <c r="CL8" s="38">
        <v>1</v>
      </c>
      <c r="CM8" s="29" t="s">
        <v>248</v>
      </c>
      <c r="CN8" s="38">
        <f>CN4</f>
        <v>2970</v>
      </c>
      <c r="CO8" s="38">
        <f>CO4*2</f>
        <v>2</v>
      </c>
      <c r="CP8" s="39">
        <v>0.778</v>
      </c>
      <c r="CQ8" s="30">
        <f aca="true" t="shared" si="11" ref="CQ8:CQ16">CP8*CO8*CN8/1000</f>
        <v>4.62132</v>
      </c>
      <c r="CS8" s="38">
        <v>1</v>
      </c>
      <c r="CT8" s="29" t="s">
        <v>248</v>
      </c>
      <c r="CU8" s="38">
        <f>CU4</f>
        <v>1770</v>
      </c>
      <c r="CV8" s="38">
        <f>CV4*2</f>
        <v>2</v>
      </c>
      <c r="CW8" s="39">
        <v>0.778</v>
      </c>
      <c r="CX8" s="30">
        <f aca="true" t="shared" si="12" ref="CX8:CX16">CW8*CV8*CU8/1000</f>
        <v>2.75412</v>
      </c>
      <c r="CZ8" s="38">
        <v>1</v>
      </c>
      <c r="DA8" s="29" t="s">
        <v>248</v>
      </c>
      <c r="DB8" s="38">
        <f>DB4</f>
        <v>1770</v>
      </c>
      <c r="DC8" s="38">
        <f>DC4*2</f>
        <v>2</v>
      </c>
      <c r="DD8" s="39">
        <v>0.778</v>
      </c>
      <c r="DE8" s="30">
        <f aca="true" t="shared" si="13" ref="DE8:DE16">DD8*DC8*DB8/1000</f>
        <v>2.75412</v>
      </c>
      <c r="DG8" s="38">
        <v>1</v>
      </c>
      <c r="DH8" s="29" t="s">
        <v>248</v>
      </c>
      <c r="DI8" s="38">
        <f>DI4</f>
        <v>1770</v>
      </c>
      <c r="DJ8" s="38">
        <f>DJ4*2</f>
        <v>2</v>
      </c>
      <c r="DK8" s="39">
        <v>0.778</v>
      </c>
      <c r="DL8" s="30">
        <f aca="true" t="shared" si="14" ref="DL8:DL16">DK8*DJ8*DI8/1000</f>
        <v>2.75412</v>
      </c>
      <c r="DN8" s="38">
        <v>1</v>
      </c>
      <c r="DO8" s="29" t="s">
        <v>248</v>
      </c>
      <c r="DP8" s="38">
        <f>DP4</f>
        <v>2070</v>
      </c>
      <c r="DQ8" s="38">
        <f>DQ4*2</f>
        <v>2</v>
      </c>
      <c r="DR8" s="39">
        <v>0.778</v>
      </c>
      <c r="DS8" s="30">
        <f aca="true" t="shared" si="15" ref="DS8:DS16">DR8*DQ8*DP8/1000</f>
        <v>3.22092</v>
      </c>
      <c r="DU8" s="38">
        <v>1</v>
      </c>
      <c r="DV8" s="29" t="s">
        <v>248</v>
      </c>
      <c r="DW8" s="38">
        <f>DW4</f>
        <v>2570</v>
      </c>
      <c r="DX8" s="38">
        <f>DX4*2</f>
        <v>2</v>
      </c>
      <c r="DY8" s="39">
        <v>0.778</v>
      </c>
      <c r="DZ8" s="30">
        <f aca="true" t="shared" si="16" ref="DZ8:DZ16">DY8*DX8*DW8/1000</f>
        <v>3.99892</v>
      </c>
    </row>
    <row r="9" spans="2:130" ht="14.25">
      <c r="B9" s="38">
        <v>2</v>
      </c>
      <c r="C9" s="29" t="s">
        <v>249</v>
      </c>
      <c r="D9" s="38">
        <f>C4-30</f>
        <v>1440</v>
      </c>
      <c r="E9" s="38"/>
      <c r="F9" s="39">
        <v>1.172</v>
      </c>
      <c r="G9" s="30">
        <f t="shared" si="0"/>
        <v>0</v>
      </c>
      <c r="I9" s="38">
        <v>2</v>
      </c>
      <c r="J9" s="29" t="s">
        <v>249</v>
      </c>
      <c r="K9" s="38">
        <f>J4-30</f>
        <v>1440</v>
      </c>
      <c r="L9" s="38"/>
      <c r="M9" s="39">
        <v>1.172</v>
      </c>
      <c r="N9" s="30">
        <f t="shared" si="1"/>
        <v>0</v>
      </c>
      <c r="P9" s="38">
        <v>2</v>
      </c>
      <c r="Q9" s="29" t="s">
        <v>249</v>
      </c>
      <c r="R9" s="38">
        <f>Q4-30</f>
        <v>1440</v>
      </c>
      <c r="S9" s="38"/>
      <c r="T9" s="39">
        <v>1.172</v>
      </c>
      <c r="U9" s="30">
        <f t="shared" si="2"/>
        <v>0</v>
      </c>
      <c r="W9" s="38">
        <v>2</v>
      </c>
      <c r="X9" s="29" t="s">
        <v>249</v>
      </c>
      <c r="Y9" s="38">
        <f>X4-30</f>
        <v>1440</v>
      </c>
      <c r="Z9" s="38"/>
      <c r="AA9" s="39">
        <v>1.172</v>
      </c>
      <c r="AB9" s="30">
        <f t="shared" si="3"/>
        <v>0</v>
      </c>
      <c r="AD9" s="38">
        <v>2</v>
      </c>
      <c r="AE9" s="29" t="s">
        <v>249</v>
      </c>
      <c r="AF9" s="38">
        <v>1480</v>
      </c>
      <c r="AG9" s="38"/>
      <c r="AH9" s="39">
        <v>1.172</v>
      </c>
      <c r="AI9" s="30">
        <f t="shared" si="4"/>
        <v>0</v>
      </c>
      <c r="AK9" s="38">
        <v>2</v>
      </c>
      <c r="AL9" s="29" t="s">
        <v>249</v>
      </c>
      <c r="AM9" s="38">
        <v>1480</v>
      </c>
      <c r="AN9" s="38"/>
      <c r="AO9" s="39">
        <v>1.172</v>
      </c>
      <c r="AP9" s="30">
        <f t="shared" si="5"/>
        <v>0</v>
      </c>
      <c r="AW9" s="38">
        <v>2</v>
      </c>
      <c r="AX9" s="29" t="s">
        <v>249</v>
      </c>
      <c r="AY9" s="38">
        <v>1480</v>
      </c>
      <c r="AZ9" s="38"/>
      <c r="BA9" s="39">
        <v>1.172</v>
      </c>
      <c r="BB9" s="30">
        <f t="shared" si="6"/>
        <v>0</v>
      </c>
      <c r="BJ9" s="38">
        <v>2</v>
      </c>
      <c r="BK9" s="29" t="s">
        <v>249</v>
      </c>
      <c r="BL9" s="38">
        <v>1480</v>
      </c>
      <c r="BM9" s="38"/>
      <c r="BN9" s="39">
        <v>1.172</v>
      </c>
      <c r="BO9" s="30">
        <f t="shared" si="7"/>
        <v>0</v>
      </c>
      <c r="BQ9" s="38">
        <v>2</v>
      </c>
      <c r="BR9" s="29" t="s">
        <v>249</v>
      </c>
      <c r="BS9" s="38">
        <v>1480</v>
      </c>
      <c r="BT9" s="38"/>
      <c r="BU9" s="39">
        <v>1.172</v>
      </c>
      <c r="BV9" s="30">
        <f t="shared" si="8"/>
        <v>0</v>
      </c>
      <c r="BX9" s="38">
        <v>2</v>
      </c>
      <c r="BY9" s="29" t="s">
        <v>249</v>
      </c>
      <c r="BZ9" s="38">
        <v>1480</v>
      </c>
      <c r="CA9" s="38"/>
      <c r="CB9" s="39">
        <v>1.172</v>
      </c>
      <c r="CC9" s="30">
        <f t="shared" si="9"/>
        <v>0</v>
      </c>
      <c r="CE9" s="38">
        <v>2</v>
      </c>
      <c r="CF9" s="29" t="s">
        <v>249</v>
      </c>
      <c r="CG9" s="38">
        <v>1480</v>
      </c>
      <c r="CH9" s="38"/>
      <c r="CI9" s="39">
        <v>1.172</v>
      </c>
      <c r="CJ9" s="30">
        <f t="shared" si="10"/>
        <v>0</v>
      </c>
      <c r="CL9" s="38">
        <v>2</v>
      </c>
      <c r="CM9" s="29" t="s">
        <v>249</v>
      </c>
      <c r="CN9" s="38">
        <v>1480</v>
      </c>
      <c r="CO9" s="38"/>
      <c r="CP9" s="39">
        <v>1.172</v>
      </c>
      <c r="CQ9" s="30">
        <f t="shared" si="11"/>
        <v>0</v>
      </c>
      <c r="CS9" s="38">
        <v>2</v>
      </c>
      <c r="CT9" s="29" t="s">
        <v>249</v>
      </c>
      <c r="CU9" s="38">
        <v>2080</v>
      </c>
      <c r="CV9" s="38"/>
      <c r="CW9" s="39">
        <v>1.172</v>
      </c>
      <c r="CX9" s="30">
        <f t="shared" si="12"/>
        <v>0</v>
      </c>
      <c r="CZ9" s="38">
        <v>2</v>
      </c>
      <c r="DA9" s="29" t="s">
        <v>249</v>
      </c>
      <c r="DB9" s="38">
        <v>2080</v>
      </c>
      <c r="DC9" s="38"/>
      <c r="DD9" s="39">
        <v>1.172</v>
      </c>
      <c r="DE9" s="30">
        <f t="shared" si="13"/>
        <v>0</v>
      </c>
      <c r="DG9" s="38">
        <v>2</v>
      </c>
      <c r="DH9" s="29" t="s">
        <v>249</v>
      </c>
      <c r="DI9" s="38">
        <v>2080</v>
      </c>
      <c r="DJ9" s="38"/>
      <c r="DK9" s="39">
        <v>1.172</v>
      </c>
      <c r="DL9" s="30">
        <f t="shared" si="14"/>
        <v>0</v>
      </c>
      <c r="DN9" s="38">
        <v>2</v>
      </c>
      <c r="DO9" s="29" t="s">
        <v>249</v>
      </c>
      <c r="DP9" s="38">
        <v>2080</v>
      </c>
      <c r="DQ9" s="38"/>
      <c r="DR9" s="39">
        <v>1.172</v>
      </c>
      <c r="DS9" s="30">
        <f t="shared" si="15"/>
        <v>0</v>
      </c>
      <c r="DU9" s="38">
        <v>2</v>
      </c>
      <c r="DV9" s="29" t="s">
        <v>249</v>
      </c>
      <c r="DW9" s="38">
        <v>2080</v>
      </c>
      <c r="DX9" s="38"/>
      <c r="DY9" s="39">
        <v>1.172</v>
      </c>
      <c r="DZ9" s="30">
        <f t="shared" si="16"/>
        <v>0</v>
      </c>
    </row>
    <row r="10" spans="2:130" ht="14.25">
      <c r="B10" s="38">
        <v>3</v>
      </c>
      <c r="C10" s="29" t="s">
        <v>250</v>
      </c>
      <c r="D10" s="38">
        <f aca="true" t="shared" si="17" ref="D10:D14">D9</f>
        <v>1440</v>
      </c>
      <c r="E10" s="38">
        <f>E4</f>
        <v>1</v>
      </c>
      <c r="F10" s="39">
        <v>1.801</v>
      </c>
      <c r="G10" s="30">
        <f t="shared" si="0"/>
        <v>2.59344</v>
      </c>
      <c r="I10" s="38">
        <v>3</v>
      </c>
      <c r="J10" s="29" t="s">
        <v>250</v>
      </c>
      <c r="K10" s="38">
        <f aca="true" t="shared" si="18" ref="K10:K13">K9</f>
        <v>1440</v>
      </c>
      <c r="L10" s="38">
        <f>L4</f>
        <v>1</v>
      </c>
      <c r="M10" s="39">
        <v>1.801</v>
      </c>
      <c r="N10" s="30">
        <f t="shared" si="1"/>
        <v>2.59344</v>
      </c>
      <c r="P10" s="38">
        <v>3</v>
      </c>
      <c r="Q10" s="29" t="s">
        <v>250</v>
      </c>
      <c r="R10" s="38">
        <f aca="true" t="shared" si="19" ref="R10:R13">R9</f>
        <v>1440</v>
      </c>
      <c r="S10" s="38">
        <f>S4</f>
        <v>1</v>
      </c>
      <c r="T10" s="39">
        <v>1.801</v>
      </c>
      <c r="U10" s="30">
        <f t="shared" si="2"/>
        <v>2.59344</v>
      </c>
      <c r="W10" s="38">
        <v>3</v>
      </c>
      <c r="X10" s="29" t="s">
        <v>250</v>
      </c>
      <c r="Y10" s="38">
        <f aca="true" t="shared" si="20" ref="Y10:Y13">Y9</f>
        <v>1440</v>
      </c>
      <c r="Z10" s="38">
        <f>Z4</f>
        <v>1</v>
      </c>
      <c r="AA10" s="39">
        <v>1.801</v>
      </c>
      <c r="AB10" s="30">
        <f t="shared" si="3"/>
        <v>2.59344</v>
      </c>
      <c r="AD10" s="38">
        <v>3</v>
      </c>
      <c r="AE10" s="29" t="s">
        <v>250</v>
      </c>
      <c r="AF10" s="38">
        <f aca="true" t="shared" si="21" ref="AF10:AF12">AF9</f>
        <v>1480</v>
      </c>
      <c r="AG10" s="38">
        <f>AG4</f>
        <v>1</v>
      </c>
      <c r="AH10" s="39">
        <v>1.801</v>
      </c>
      <c r="AI10" s="30">
        <f t="shared" si="4"/>
        <v>2.66548</v>
      </c>
      <c r="AK10" s="38">
        <v>3</v>
      </c>
      <c r="AL10" s="29" t="s">
        <v>250</v>
      </c>
      <c r="AM10" s="38">
        <f aca="true" t="shared" si="22" ref="AM10:AM13">AM9</f>
        <v>1480</v>
      </c>
      <c r="AN10" s="38">
        <f>AN4</f>
        <v>1</v>
      </c>
      <c r="AO10" s="39">
        <v>1.801</v>
      </c>
      <c r="AP10" s="30">
        <f t="shared" si="5"/>
        <v>2.66548</v>
      </c>
      <c r="AW10" s="38">
        <v>3</v>
      </c>
      <c r="AX10" s="29" t="s">
        <v>250</v>
      </c>
      <c r="AY10" s="38">
        <f aca="true" t="shared" si="23" ref="AY10:AY12">AY9</f>
        <v>1480</v>
      </c>
      <c r="AZ10" s="38">
        <f>AZ4</f>
        <v>1</v>
      </c>
      <c r="BA10" s="39">
        <v>1.801</v>
      </c>
      <c r="BB10" s="30">
        <f t="shared" si="6"/>
        <v>2.66548</v>
      </c>
      <c r="BJ10" s="38">
        <v>3</v>
      </c>
      <c r="BK10" s="29" t="s">
        <v>250</v>
      </c>
      <c r="BL10" s="38">
        <f aca="true" t="shared" si="24" ref="BL10:BL12">BL9</f>
        <v>1480</v>
      </c>
      <c r="BM10" s="38">
        <f>BM4</f>
        <v>1</v>
      </c>
      <c r="BN10" s="39">
        <v>1.801</v>
      </c>
      <c r="BO10" s="30">
        <f t="shared" si="7"/>
        <v>2.66548</v>
      </c>
      <c r="BQ10" s="38">
        <v>3</v>
      </c>
      <c r="BR10" s="29" t="s">
        <v>250</v>
      </c>
      <c r="BS10" s="38">
        <f aca="true" t="shared" si="25" ref="BS10:BS12">BS9</f>
        <v>1480</v>
      </c>
      <c r="BT10" s="38">
        <f>BT4</f>
        <v>1</v>
      </c>
      <c r="BU10" s="39">
        <v>1.801</v>
      </c>
      <c r="BV10" s="30">
        <f t="shared" si="8"/>
        <v>2.66548</v>
      </c>
      <c r="BX10" s="38">
        <v>3</v>
      </c>
      <c r="BY10" s="29" t="s">
        <v>250</v>
      </c>
      <c r="BZ10" s="38">
        <f aca="true" t="shared" si="26" ref="BZ10:BZ12">BZ9</f>
        <v>1480</v>
      </c>
      <c r="CA10" s="38">
        <f>CA4</f>
        <v>1</v>
      </c>
      <c r="CB10" s="39">
        <v>1.801</v>
      </c>
      <c r="CC10" s="30">
        <f t="shared" si="9"/>
        <v>2.66548</v>
      </c>
      <c r="CE10" s="38">
        <v>3</v>
      </c>
      <c r="CF10" s="29" t="s">
        <v>250</v>
      </c>
      <c r="CG10" s="38">
        <f aca="true" t="shared" si="27" ref="CG10:CG12">CG9</f>
        <v>1480</v>
      </c>
      <c r="CH10" s="38">
        <f>CH4</f>
        <v>1</v>
      </c>
      <c r="CI10" s="39">
        <v>1.801</v>
      </c>
      <c r="CJ10" s="30">
        <f t="shared" si="10"/>
        <v>2.66548</v>
      </c>
      <c r="CL10" s="38">
        <v>3</v>
      </c>
      <c r="CM10" s="29" t="s">
        <v>250</v>
      </c>
      <c r="CN10" s="38">
        <f aca="true" t="shared" si="28" ref="CN10:CN12">CN9</f>
        <v>1480</v>
      </c>
      <c r="CO10" s="38">
        <f>CO4</f>
        <v>1</v>
      </c>
      <c r="CP10" s="39">
        <v>1.801</v>
      </c>
      <c r="CQ10" s="30">
        <f t="shared" si="11"/>
        <v>2.66548</v>
      </c>
      <c r="CS10" s="38">
        <v>3</v>
      </c>
      <c r="CT10" s="29" t="s">
        <v>250</v>
      </c>
      <c r="CU10" s="38">
        <f aca="true" t="shared" si="29" ref="CU10:CU12">CU9</f>
        <v>2080</v>
      </c>
      <c r="CV10" s="38">
        <f>CV4</f>
        <v>1</v>
      </c>
      <c r="CW10" s="39">
        <v>1.801</v>
      </c>
      <c r="CX10" s="30">
        <f t="shared" si="12"/>
        <v>3.74608</v>
      </c>
      <c r="CZ10" s="38">
        <v>3</v>
      </c>
      <c r="DA10" s="29" t="s">
        <v>250</v>
      </c>
      <c r="DB10" s="38">
        <f aca="true" t="shared" si="30" ref="DB10:DB12">DB9</f>
        <v>2080</v>
      </c>
      <c r="DC10" s="38">
        <f>DC4</f>
        <v>1</v>
      </c>
      <c r="DD10" s="39">
        <v>1.801</v>
      </c>
      <c r="DE10" s="30">
        <f t="shared" si="13"/>
        <v>3.74608</v>
      </c>
      <c r="DG10" s="38">
        <v>3</v>
      </c>
      <c r="DH10" s="29" t="s">
        <v>250</v>
      </c>
      <c r="DI10" s="38">
        <f aca="true" t="shared" si="31" ref="DI10:DI12">DI9</f>
        <v>2080</v>
      </c>
      <c r="DJ10" s="38">
        <f>DJ4</f>
        <v>1</v>
      </c>
      <c r="DK10" s="39">
        <v>1.801</v>
      </c>
      <c r="DL10" s="30">
        <f t="shared" si="14"/>
        <v>3.74608</v>
      </c>
      <c r="DN10" s="38">
        <v>3</v>
      </c>
      <c r="DO10" s="29" t="s">
        <v>250</v>
      </c>
      <c r="DP10" s="38">
        <f aca="true" t="shared" si="32" ref="DP10:DP12">DP9</f>
        <v>2080</v>
      </c>
      <c r="DQ10" s="38">
        <f>DQ4</f>
        <v>1</v>
      </c>
      <c r="DR10" s="39">
        <v>1.801</v>
      </c>
      <c r="DS10" s="30">
        <f t="shared" si="15"/>
        <v>3.74608</v>
      </c>
      <c r="DU10" s="38">
        <v>3</v>
      </c>
      <c r="DV10" s="29" t="s">
        <v>250</v>
      </c>
      <c r="DW10" s="38">
        <f aca="true" t="shared" si="33" ref="DW10:DW12">DW9</f>
        <v>2080</v>
      </c>
      <c r="DX10" s="38">
        <f>DX4</f>
        <v>1</v>
      </c>
      <c r="DY10" s="39">
        <v>1.801</v>
      </c>
      <c r="DZ10" s="30">
        <f t="shared" si="16"/>
        <v>3.74608</v>
      </c>
    </row>
    <row r="11" spans="2:130" ht="14.25">
      <c r="B11" s="38"/>
      <c r="C11" s="29" t="s">
        <v>251</v>
      </c>
      <c r="D11" s="38">
        <f t="shared" si="17"/>
        <v>1440</v>
      </c>
      <c r="E11" s="38">
        <f>E10</f>
        <v>1</v>
      </c>
      <c r="F11" s="39">
        <v>1.601</v>
      </c>
      <c r="G11" s="30">
        <f t="shared" si="0"/>
        <v>2.30544</v>
      </c>
      <c r="I11" s="38"/>
      <c r="J11" s="29" t="s">
        <v>251</v>
      </c>
      <c r="K11" s="38">
        <f t="shared" si="18"/>
        <v>1440</v>
      </c>
      <c r="L11" s="38">
        <f>L10</f>
        <v>1</v>
      </c>
      <c r="M11" s="39">
        <v>1.601</v>
      </c>
      <c r="N11" s="30">
        <f t="shared" si="1"/>
        <v>2.30544</v>
      </c>
      <c r="P11" s="38"/>
      <c r="Q11" s="29" t="s">
        <v>251</v>
      </c>
      <c r="R11" s="38">
        <f t="shared" si="19"/>
        <v>1440</v>
      </c>
      <c r="S11" s="38">
        <f>S10</f>
        <v>1</v>
      </c>
      <c r="T11" s="39">
        <v>1.601</v>
      </c>
      <c r="U11" s="30">
        <f t="shared" si="2"/>
        <v>2.30544</v>
      </c>
      <c r="W11" s="38"/>
      <c r="X11" s="29" t="s">
        <v>251</v>
      </c>
      <c r="Y11" s="38">
        <f t="shared" si="20"/>
        <v>1440</v>
      </c>
      <c r="Z11" s="38">
        <f>Z10</f>
        <v>1</v>
      </c>
      <c r="AA11" s="39">
        <v>1.601</v>
      </c>
      <c r="AB11" s="30">
        <f t="shared" si="3"/>
        <v>2.30544</v>
      </c>
      <c r="AD11" s="38"/>
      <c r="AE11" s="29" t="s">
        <v>251</v>
      </c>
      <c r="AF11" s="38">
        <f t="shared" si="21"/>
        <v>1480</v>
      </c>
      <c r="AG11" s="38">
        <f>AG10</f>
        <v>1</v>
      </c>
      <c r="AH11" s="39">
        <v>1.601</v>
      </c>
      <c r="AI11" s="30">
        <f t="shared" si="4"/>
        <v>2.36948</v>
      </c>
      <c r="AK11" s="38"/>
      <c r="AL11" s="29" t="s">
        <v>251</v>
      </c>
      <c r="AM11" s="38">
        <f t="shared" si="22"/>
        <v>1480</v>
      </c>
      <c r="AN11" s="38">
        <f>AN10</f>
        <v>1</v>
      </c>
      <c r="AO11" s="39">
        <v>1.601</v>
      </c>
      <c r="AP11" s="30">
        <f t="shared" si="5"/>
        <v>2.36948</v>
      </c>
      <c r="AW11" s="38"/>
      <c r="AX11" s="29" t="s">
        <v>251</v>
      </c>
      <c r="AY11" s="38">
        <f t="shared" si="23"/>
        <v>1480</v>
      </c>
      <c r="AZ11" s="38">
        <f>AZ10</f>
        <v>1</v>
      </c>
      <c r="BA11" s="39">
        <v>1.601</v>
      </c>
      <c r="BB11" s="30">
        <f t="shared" si="6"/>
        <v>2.36948</v>
      </c>
      <c r="BJ11" s="38"/>
      <c r="BK11" s="29" t="s">
        <v>251</v>
      </c>
      <c r="BL11" s="38">
        <f t="shared" si="24"/>
        <v>1480</v>
      </c>
      <c r="BM11" s="38">
        <f>BM10</f>
        <v>1</v>
      </c>
      <c r="BN11" s="39">
        <v>1.601</v>
      </c>
      <c r="BO11" s="30">
        <f t="shared" si="7"/>
        <v>2.36948</v>
      </c>
      <c r="BQ11" s="38"/>
      <c r="BR11" s="29" t="s">
        <v>251</v>
      </c>
      <c r="BS11" s="38">
        <f t="shared" si="25"/>
        <v>1480</v>
      </c>
      <c r="BT11" s="38">
        <f>BT10</f>
        <v>1</v>
      </c>
      <c r="BU11" s="39">
        <v>1.601</v>
      </c>
      <c r="BV11" s="30">
        <f t="shared" si="8"/>
        <v>2.36948</v>
      </c>
      <c r="BX11" s="38"/>
      <c r="BY11" s="29" t="s">
        <v>251</v>
      </c>
      <c r="BZ11" s="38">
        <f t="shared" si="26"/>
        <v>1480</v>
      </c>
      <c r="CA11" s="38">
        <f>CA10</f>
        <v>1</v>
      </c>
      <c r="CB11" s="39">
        <v>1.601</v>
      </c>
      <c r="CC11" s="30">
        <f t="shared" si="9"/>
        <v>2.36948</v>
      </c>
      <c r="CE11" s="38"/>
      <c r="CF11" s="29" t="s">
        <v>251</v>
      </c>
      <c r="CG11" s="38">
        <f t="shared" si="27"/>
        <v>1480</v>
      </c>
      <c r="CH11" s="38">
        <f>CH10</f>
        <v>1</v>
      </c>
      <c r="CI11" s="39">
        <v>1.601</v>
      </c>
      <c r="CJ11" s="30">
        <f t="shared" si="10"/>
        <v>2.36948</v>
      </c>
      <c r="CL11" s="38"/>
      <c r="CM11" s="29" t="s">
        <v>251</v>
      </c>
      <c r="CN11" s="38">
        <f t="shared" si="28"/>
        <v>1480</v>
      </c>
      <c r="CO11" s="38">
        <f>CO10</f>
        <v>1</v>
      </c>
      <c r="CP11" s="39">
        <v>1.601</v>
      </c>
      <c r="CQ11" s="30">
        <f t="shared" si="11"/>
        <v>2.36948</v>
      </c>
      <c r="CS11" s="38"/>
      <c r="CT11" s="29" t="s">
        <v>251</v>
      </c>
      <c r="CU11" s="38">
        <f t="shared" si="29"/>
        <v>2080</v>
      </c>
      <c r="CV11" s="38">
        <f>CV10</f>
        <v>1</v>
      </c>
      <c r="CW11" s="39">
        <v>1.601</v>
      </c>
      <c r="CX11" s="30">
        <f t="shared" si="12"/>
        <v>3.3300799999999997</v>
      </c>
      <c r="CZ11" s="38"/>
      <c r="DA11" s="29" t="s">
        <v>251</v>
      </c>
      <c r="DB11" s="38">
        <f t="shared" si="30"/>
        <v>2080</v>
      </c>
      <c r="DC11" s="38">
        <f>DC10</f>
        <v>1</v>
      </c>
      <c r="DD11" s="39">
        <v>1.601</v>
      </c>
      <c r="DE11" s="30">
        <f t="shared" si="13"/>
        <v>3.3300799999999997</v>
      </c>
      <c r="DG11" s="38"/>
      <c r="DH11" s="29" t="s">
        <v>251</v>
      </c>
      <c r="DI11" s="38">
        <f t="shared" si="31"/>
        <v>2080</v>
      </c>
      <c r="DJ11" s="38">
        <f>DJ10</f>
        <v>1</v>
      </c>
      <c r="DK11" s="39">
        <v>1.601</v>
      </c>
      <c r="DL11" s="30">
        <f t="shared" si="14"/>
        <v>3.3300799999999997</v>
      </c>
      <c r="DN11" s="38"/>
      <c r="DO11" s="29" t="s">
        <v>251</v>
      </c>
      <c r="DP11" s="38">
        <f t="shared" si="32"/>
        <v>2080</v>
      </c>
      <c r="DQ11" s="38">
        <f>DQ10</f>
        <v>1</v>
      </c>
      <c r="DR11" s="39">
        <v>1.601</v>
      </c>
      <c r="DS11" s="30">
        <f t="shared" si="15"/>
        <v>3.3300799999999997</v>
      </c>
      <c r="DU11" s="38"/>
      <c r="DV11" s="29" t="s">
        <v>251</v>
      </c>
      <c r="DW11" s="38">
        <f t="shared" si="33"/>
        <v>2080</v>
      </c>
      <c r="DX11" s="38">
        <f>DX10</f>
        <v>1</v>
      </c>
      <c r="DY11" s="39">
        <v>1.601</v>
      </c>
      <c r="DZ11" s="30">
        <f t="shared" si="16"/>
        <v>3.3300799999999997</v>
      </c>
    </row>
    <row r="12" spans="2:130" ht="14.25">
      <c r="B12" s="38"/>
      <c r="C12" s="29" t="s">
        <v>252</v>
      </c>
      <c r="D12" s="38">
        <f t="shared" si="17"/>
        <v>1440</v>
      </c>
      <c r="E12" s="34"/>
      <c r="F12" s="39">
        <v>1.956</v>
      </c>
      <c r="G12" s="30">
        <f t="shared" si="0"/>
        <v>0</v>
      </c>
      <c r="I12" s="38"/>
      <c r="J12" s="29" t="s">
        <v>252</v>
      </c>
      <c r="K12" s="38">
        <f t="shared" si="18"/>
        <v>1440</v>
      </c>
      <c r="L12" s="34"/>
      <c r="M12" s="39">
        <v>1.956</v>
      </c>
      <c r="N12" s="30">
        <f t="shared" si="1"/>
        <v>0</v>
      </c>
      <c r="P12" s="38"/>
      <c r="Q12" s="29" t="s">
        <v>252</v>
      </c>
      <c r="R12" s="38">
        <f t="shared" si="19"/>
        <v>1440</v>
      </c>
      <c r="S12" s="34"/>
      <c r="T12" s="39">
        <v>1.956</v>
      </c>
      <c r="U12" s="30">
        <f t="shared" si="2"/>
        <v>0</v>
      </c>
      <c r="W12" s="38"/>
      <c r="X12" s="29" t="s">
        <v>252</v>
      </c>
      <c r="Y12" s="38">
        <f t="shared" si="20"/>
        <v>1440</v>
      </c>
      <c r="Z12" s="34"/>
      <c r="AA12" s="39">
        <v>1.956</v>
      </c>
      <c r="AB12" s="30">
        <f t="shared" si="3"/>
        <v>0</v>
      </c>
      <c r="AD12" s="38"/>
      <c r="AE12" s="29" t="s">
        <v>252</v>
      </c>
      <c r="AF12" s="38">
        <f t="shared" si="21"/>
        <v>1480</v>
      </c>
      <c r="AG12" s="34"/>
      <c r="AH12" s="39">
        <v>1.956</v>
      </c>
      <c r="AI12" s="30">
        <f t="shared" si="4"/>
        <v>0</v>
      </c>
      <c r="AK12" s="38"/>
      <c r="AL12" s="29" t="s">
        <v>252</v>
      </c>
      <c r="AM12" s="38">
        <f t="shared" si="22"/>
        <v>1480</v>
      </c>
      <c r="AN12" s="34"/>
      <c r="AO12" s="39">
        <v>1.956</v>
      </c>
      <c r="AP12" s="30">
        <f t="shared" si="5"/>
        <v>0</v>
      </c>
      <c r="AW12" s="38"/>
      <c r="AX12" s="29" t="s">
        <v>252</v>
      </c>
      <c r="AY12" s="38">
        <f t="shared" si="23"/>
        <v>1480</v>
      </c>
      <c r="AZ12" s="34"/>
      <c r="BA12" s="39">
        <v>1.956</v>
      </c>
      <c r="BB12" s="30">
        <f t="shared" si="6"/>
        <v>0</v>
      </c>
      <c r="BJ12" s="38"/>
      <c r="BK12" s="29" t="s">
        <v>252</v>
      </c>
      <c r="BL12" s="38">
        <f t="shared" si="24"/>
        <v>1480</v>
      </c>
      <c r="BM12" s="34"/>
      <c r="BN12" s="39">
        <v>1.956</v>
      </c>
      <c r="BO12" s="30">
        <f t="shared" si="7"/>
        <v>0</v>
      </c>
      <c r="BQ12" s="38"/>
      <c r="BR12" s="29" t="s">
        <v>252</v>
      </c>
      <c r="BS12" s="38">
        <f t="shared" si="25"/>
        <v>1480</v>
      </c>
      <c r="BT12" s="34"/>
      <c r="BU12" s="39">
        <v>1.956</v>
      </c>
      <c r="BV12" s="30">
        <f t="shared" si="8"/>
        <v>0</v>
      </c>
      <c r="BX12" s="38"/>
      <c r="BY12" s="29" t="s">
        <v>252</v>
      </c>
      <c r="BZ12" s="38">
        <f t="shared" si="26"/>
        <v>1480</v>
      </c>
      <c r="CA12" s="34"/>
      <c r="CB12" s="39">
        <v>1.956</v>
      </c>
      <c r="CC12" s="30">
        <f t="shared" si="9"/>
        <v>0</v>
      </c>
      <c r="CE12" s="38"/>
      <c r="CF12" s="29" t="s">
        <v>252</v>
      </c>
      <c r="CG12" s="38">
        <f t="shared" si="27"/>
        <v>1480</v>
      </c>
      <c r="CH12" s="34"/>
      <c r="CI12" s="39">
        <v>1.956</v>
      </c>
      <c r="CJ12" s="30">
        <f t="shared" si="10"/>
        <v>0</v>
      </c>
      <c r="CL12" s="38"/>
      <c r="CM12" s="29" t="s">
        <v>252</v>
      </c>
      <c r="CN12" s="38">
        <f t="shared" si="28"/>
        <v>1480</v>
      </c>
      <c r="CO12" s="34"/>
      <c r="CP12" s="39">
        <v>1.956</v>
      </c>
      <c r="CQ12" s="30">
        <f t="shared" si="11"/>
        <v>0</v>
      </c>
      <c r="CS12" s="38"/>
      <c r="CT12" s="29" t="s">
        <v>252</v>
      </c>
      <c r="CU12" s="38">
        <f t="shared" si="29"/>
        <v>2080</v>
      </c>
      <c r="CV12" s="34"/>
      <c r="CW12" s="39">
        <v>1.956</v>
      </c>
      <c r="CX12" s="30">
        <f t="shared" si="12"/>
        <v>0</v>
      </c>
      <c r="CZ12" s="38"/>
      <c r="DA12" s="29" t="s">
        <v>252</v>
      </c>
      <c r="DB12" s="38">
        <f t="shared" si="30"/>
        <v>2080</v>
      </c>
      <c r="DC12" s="34"/>
      <c r="DD12" s="39">
        <v>1.956</v>
      </c>
      <c r="DE12" s="30">
        <f t="shared" si="13"/>
        <v>0</v>
      </c>
      <c r="DG12" s="38"/>
      <c r="DH12" s="29" t="s">
        <v>252</v>
      </c>
      <c r="DI12" s="38">
        <f t="shared" si="31"/>
        <v>2080</v>
      </c>
      <c r="DJ12" s="34"/>
      <c r="DK12" s="39">
        <v>1.956</v>
      </c>
      <c r="DL12" s="30">
        <f t="shared" si="14"/>
        <v>0</v>
      </c>
      <c r="DN12" s="38"/>
      <c r="DO12" s="29" t="s">
        <v>252</v>
      </c>
      <c r="DP12" s="38">
        <f t="shared" si="32"/>
        <v>2080</v>
      </c>
      <c r="DQ12" s="34"/>
      <c r="DR12" s="39">
        <v>1.956</v>
      </c>
      <c r="DS12" s="30">
        <f t="shared" si="15"/>
        <v>0</v>
      </c>
      <c r="DU12" s="38"/>
      <c r="DV12" s="29" t="s">
        <v>252</v>
      </c>
      <c r="DW12" s="38">
        <f t="shared" si="33"/>
        <v>2080</v>
      </c>
      <c r="DX12" s="34"/>
      <c r="DY12" s="39">
        <v>1.956</v>
      </c>
      <c r="DZ12" s="30">
        <f t="shared" si="16"/>
        <v>0</v>
      </c>
    </row>
    <row r="13" spans="2:130" ht="14.25">
      <c r="B13" s="38"/>
      <c r="C13" s="29" t="s">
        <v>253</v>
      </c>
      <c r="D13" s="38">
        <f t="shared" si="17"/>
        <v>1440</v>
      </c>
      <c r="E13" s="38">
        <f>E11</f>
        <v>1</v>
      </c>
      <c r="F13" s="39">
        <v>0.874</v>
      </c>
      <c r="G13" s="30">
        <f t="shared" si="0"/>
        <v>1.25856</v>
      </c>
      <c r="I13" s="38"/>
      <c r="J13" s="29" t="s">
        <v>253</v>
      </c>
      <c r="K13" s="38">
        <f t="shared" si="18"/>
        <v>1440</v>
      </c>
      <c r="L13" s="38">
        <f>L11</f>
        <v>1</v>
      </c>
      <c r="M13" s="39">
        <v>0.874</v>
      </c>
      <c r="N13" s="30">
        <f t="shared" si="1"/>
        <v>1.25856</v>
      </c>
      <c r="P13" s="38"/>
      <c r="Q13" s="29" t="s">
        <v>253</v>
      </c>
      <c r="R13" s="38">
        <f t="shared" si="19"/>
        <v>1440</v>
      </c>
      <c r="S13" s="38">
        <f>S11</f>
        <v>1</v>
      </c>
      <c r="T13" s="39">
        <v>0.874</v>
      </c>
      <c r="U13" s="30">
        <f t="shared" si="2"/>
        <v>1.25856</v>
      </c>
      <c r="W13" s="38"/>
      <c r="X13" s="29" t="s">
        <v>253</v>
      </c>
      <c r="Y13" s="38">
        <f t="shared" si="20"/>
        <v>1440</v>
      </c>
      <c r="Z13" s="38">
        <f>Z11</f>
        <v>1</v>
      </c>
      <c r="AA13" s="39">
        <v>0.874</v>
      </c>
      <c r="AB13" s="30">
        <f t="shared" si="3"/>
        <v>1.25856</v>
      </c>
      <c r="AD13" s="38"/>
      <c r="AE13" s="29" t="s">
        <v>253</v>
      </c>
      <c r="AF13" s="38">
        <f>1480*1+1770*2+1200*2</f>
        <v>7420</v>
      </c>
      <c r="AG13" s="38">
        <f>AG11</f>
        <v>1</v>
      </c>
      <c r="AH13" s="39">
        <v>0.874</v>
      </c>
      <c r="AI13" s="30">
        <f t="shared" si="4"/>
        <v>6.48508</v>
      </c>
      <c r="AK13" s="38"/>
      <c r="AL13" s="29" t="s">
        <v>253</v>
      </c>
      <c r="AM13" s="38">
        <f>1480*1+1770*2+1200*2</f>
        <v>7420</v>
      </c>
      <c r="AN13" s="38">
        <f>AN11</f>
        <v>1</v>
      </c>
      <c r="AO13" s="39">
        <v>0.874</v>
      </c>
      <c r="AP13" s="30">
        <f t="shared" si="5"/>
        <v>6.48508</v>
      </c>
      <c r="AW13" s="38"/>
      <c r="AX13" s="29" t="s">
        <v>253</v>
      </c>
      <c r="AY13" s="38">
        <f>1480*1+2070*2+1200*2</f>
        <v>8020</v>
      </c>
      <c r="AZ13" s="38">
        <f>AZ11</f>
        <v>1</v>
      </c>
      <c r="BA13" s="39">
        <v>0.874</v>
      </c>
      <c r="BB13" s="30">
        <f t="shared" si="6"/>
        <v>7.00948</v>
      </c>
      <c r="BJ13" s="38"/>
      <c r="BK13" s="29" t="s">
        <v>253</v>
      </c>
      <c r="BL13" s="38">
        <f>1480*1+2070*2+1200*2</f>
        <v>8020</v>
      </c>
      <c r="BM13" s="38">
        <f>BM11</f>
        <v>1</v>
      </c>
      <c r="BN13" s="39">
        <v>0.874</v>
      </c>
      <c r="BO13" s="30">
        <f t="shared" si="7"/>
        <v>7.00948</v>
      </c>
      <c r="BQ13" s="38"/>
      <c r="BR13" s="29" t="s">
        <v>253</v>
      </c>
      <c r="BS13" s="38">
        <f>1480*1+2570*2+1200*2</f>
        <v>9020</v>
      </c>
      <c r="BT13" s="38">
        <f>BT11</f>
        <v>1</v>
      </c>
      <c r="BU13" s="39">
        <v>0.874</v>
      </c>
      <c r="BV13" s="30">
        <f t="shared" si="8"/>
        <v>7.88348</v>
      </c>
      <c r="BX13" s="38"/>
      <c r="BY13" s="29" t="s">
        <v>253</v>
      </c>
      <c r="BZ13" s="38">
        <f>1480*1+2670*2+1200*2</f>
        <v>9220</v>
      </c>
      <c r="CA13" s="38">
        <f>CA11</f>
        <v>1</v>
      </c>
      <c r="CB13" s="39">
        <v>0.874</v>
      </c>
      <c r="CC13" s="30">
        <f t="shared" si="9"/>
        <v>8.05828</v>
      </c>
      <c r="CE13" s="38"/>
      <c r="CF13" s="29" t="s">
        <v>253</v>
      </c>
      <c r="CG13" s="38">
        <f>1480*1+2670*2+1200*2</f>
        <v>9220</v>
      </c>
      <c r="CH13" s="38">
        <f>CH11</f>
        <v>1</v>
      </c>
      <c r="CI13" s="39">
        <v>0.874</v>
      </c>
      <c r="CJ13" s="30">
        <f t="shared" si="10"/>
        <v>8.05828</v>
      </c>
      <c r="CL13" s="38"/>
      <c r="CM13" s="29" t="s">
        <v>253</v>
      </c>
      <c r="CN13" s="38">
        <f>1480*1+2670*2+1200*2</f>
        <v>9220</v>
      </c>
      <c r="CO13" s="38">
        <f>CO11</f>
        <v>1</v>
      </c>
      <c r="CP13" s="39">
        <v>0.874</v>
      </c>
      <c r="CQ13" s="30">
        <f t="shared" si="11"/>
        <v>8.05828</v>
      </c>
      <c r="CS13" s="38"/>
      <c r="CT13" s="29" t="s">
        <v>253</v>
      </c>
      <c r="CU13" s="38">
        <f>2080*2+1770*2+1200*2</f>
        <v>10100</v>
      </c>
      <c r="CV13" s="38">
        <f>CV11</f>
        <v>1</v>
      </c>
      <c r="CW13" s="39">
        <v>0.874</v>
      </c>
      <c r="CX13" s="30">
        <f t="shared" si="12"/>
        <v>8.827399999999999</v>
      </c>
      <c r="CZ13" s="38"/>
      <c r="DA13" s="29" t="s">
        <v>253</v>
      </c>
      <c r="DB13" s="38">
        <f>2080*2+1770*2+1200*2</f>
        <v>10100</v>
      </c>
      <c r="DC13" s="38">
        <f>DC11</f>
        <v>1</v>
      </c>
      <c r="DD13" s="39">
        <v>0.874</v>
      </c>
      <c r="DE13" s="30">
        <f t="shared" si="13"/>
        <v>8.827399999999999</v>
      </c>
      <c r="DG13" s="38"/>
      <c r="DH13" s="29" t="s">
        <v>253</v>
      </c>
      <c r="DI13" s="38">
        <f>2080*2+1770*2+1200*2</f>
        <v>10100</v>
      </c>
      <c r="DJ13" s="38">
        <f>DJ11</f>
        <v>1</v>
      </c>
      <c r="DK13" s="39">
        <v>0.874</v>
      </c>
      <c r="DL13" s="30">
        <f t="shared" si="14"/>
        <v>8.827399999999999</v>
      </c>
      <c r="DN13" s="38"/>
      <c r="DO13" s="29" t="s">
        <v>253</v>
      </c>
      <c r="DP13" s="38">
        <f>2080*2+2070*2+1200*2</f>
        <v>10700</v>
      </c>
      <c r="DQ13" s="38">
        <f>DQ11</f>
        <v>1</v>
      </c>
      <c r="DR13" s="39">
        <v>0.874</v>
      </c>
      <c r="DS13" s="30">
        <f t="shared" si="15"/>
        <v>9.351799999999999</v>
      </c>
      <c r="DU13" s="38"/>
      <c r="DV13" s="29" t="s">
        <v>253</v>
      </c>
      <c r="DW13" s="38">
        <f>2080*2+2070*2+1200*2</f>
        <v>10700</v>
      </c>
      <c r="DX13" s="38">
        <f>DX11</f>
        <v>1</v>
      </c>
      <c r="DY13" s="39">
        <v>0.874</v>
      </c>
      <c r="DZ13" s="30">
        <f t="shared" si="16"/>
        <v>9.351799999999999</v>
      </c>
    </row>
    <row r="14" spans="2:130" ht="14.25">
      <c r="B14" s="38"/>
      <c r="C14" s="29" t="s">
        <v>254</v>
      </c>
      <c r="D14" s="38">
        <f>C5</f>
        <v>470</v>
      </c>
      <c r="E14" s="38">
        <f>E4</f>
        <v>1</v>
      </c>
      <c r="F14" s="39">
        <v>1.28</v>
      </c>
      <c r="G14" s="30">
        <f t="shared" si="0"/>
        <v>0.6016</v>
      </c>
      <c r="I14" s="38"/>
      <c r="J14" s="29" t="s">
        <v>254</v>
      </c>
      <c r="K14" s="38">
        <f>J5</f>
        <v>570</v>
      </c>
      <c r="L14" s="38">
        <f>L4</f>
        <v>1</v>
      </c>
      <c r="M14" s="39">
        <v>1.28</v>
      </c>
      <c r="N14" s="30">
        <f t="shared" si="1"/>
        <v>0.7296</v>
      </c>
      <c r="P14" s="38"/>
      <c r="Q14" s="29" t="s">
        <v>254</v>
      </c>
      <c r="R14" s="38">
        <f>Q5</f>
        <v>1170</v>
      </c>
      <c r="S14" s="38">
        <f>S4</f>
        <v>1</v>
      </c>
      <c r="T14" s="39">
        <v>1.28</v>
      </c>
      <c r="U14" s="30">
        <f t="shared" si="2"/>
        <v>1.4976</v>
      </c>
      <c r="W14" s="38"/>
      <c r="X14" s="29" t="s">
        <v>254</v>
      </c>
      <c r="Y14" s="38">
        <f>X5</f>
        <v>1470</v>
      </c>
      <c r="Z14" s="38">
        <f>Z4</f>
        <v>1</v>
      </c>
      <c r="AA14" s="39">
        <v>1.28</v>
      </c>
      <c r="AB14" s="30">
        <f t="shared" si="3"/>
        <v>1.8816000000000002</v>
      </c>
      <c r="AD14" s="38"/>
      <c r="AE14" s="29" t="s">
        <v>254</v>
      </c>
      <c r="AF14" s="38">
        <v>1200</v>
      </c>
      <c r="AG14" s="38">
        <f>AG4</f>
        <v>1</v>
      </c>
      <c r="AH14" s="39">
        <v>1.28</v>
      </c>
      <c r="AI14" s="30">
        <f t="shared" si="4"/>
        <v>1.536</v>
      </c>
      <c r="AK14" s="38"/>
      <c r="AL14" s="29" t="s">
        <v>254</v>
      </c>
      <c r="AM14" s="38">
        <v>1200</v>
      </c>
      <c r="AN14" s="38">
        <f>AN4</f>
        <v>1</v>
      </c>
      <c r="AO14" s="39">
        <v>1.28</v>
      </c>
      <c r="AP14" s="30">
        <f t="shared" si="5"/>
        <v>1.536</v>
      </c>
      <c r="AW14" s="38"/>
      <c r="AX14" s="29" t="s">
        <v>254</v>
      </c>
      <c r="AY14" s="38">
        <v>1200</v>
      </c>
      <c r="AZ14" s="38">
        <f>AZ4</f>
        <v>1</v>
      </c>
      <c r="BA14" s="39">
        <v>1.28</v>
      </c>
      <c r="BB14" s="30">
        <f t="shared" si="6"/>
        <v>1.536</v>
      </c>
      <c r="BJ14" s="38"/>
      <c r="BK14" s="29" t="s">
        <v>254</v>
      </c>
      <c r="BL14" s="38">
        <v>1200</v>
      </c>
      <c r="BM14" s="38">
        <f>BM4</f>
        <v>1</v>
      </c>
      <c r="BN14" s="39">
        <v>1.28</v>
      </c>
      <c r="BO14" s="30">
        <f t="shared" si="7"/>
        <v>1.536</v>
      </c>
      <c r="BQ14" s="38"/>
      <c r="BR14" s="29" t="s">
        <v>254</v>
      </c>
      <c r="BS14" s="38">
        <v>1200</v>
      </c>
      <c r="BT14" s="38">
        <f>BT4</f>
        <v>1</v>
      </c>
      <c r="BU14" s="39">
        <v>1.28</v>
      </c>
      <c r="BV14" s="30">
        <f t="shared" si="8"/>
        <v>1.536</v>
      </c>
      <c r="BX14" s="38"/>
      <c r="BY14" s="29" t="s">
        <v>254</v>
      </c>
      <c r="BZ14" s="38">
        <v>1200</v>
      </c>
      <c r="CA14" s="38">
        <f>CA4</f>
        <v>1</v>
      </c>
      <c r="CB14" s="39">
        <v>1.28</v>
      </c>
      <c r="CC14" s="30">
        <f t="shared" si="9"/>
        <v>1.536</v>
      </c>
      <c r="CE14" s="38"/>
      <c r="CF14" s="29" t="s">
        <v>254</v>
      </c>
      <c r="CG14" s="38">
        <v>1200</v>
      </c>
      <c r="CH14" s="38">
        <f>CH4</f>
        <v>1</v>
      </c>
      <c r="CI14" s="39">
        <v>1.28</v>
      </c>
      <c r="CJ14" s="30">
        <f t="shared" si="10"/>
        <v>1.536</v>
      </c>
      <c r="CL14" s="38"/>
      <c r="CM14" s="29" t="s">
        <v>254</v>
      </c>
      <c r="CN14" s="38">
        <v>1200</v>
      </c>
      <c r="CO14" s="38">
        <f>CO4</f>
        <v>1</v>
      </c>
      <c r="CP14" s="39">
        <v>1.28</v>
      </c>
      <c r="CQ14" s="30">
        <f t="shared" si="11"/>
        <v>1.536</v>
      </c>
      <c r="CS14" s="38"/>
      <c r="CT14" s="29" t="s">
        <v>254</v>
      </c>
      <c r="CU14" s="38">
        <v>1200</v>
      </c>
      <c r="CV14" s="38">
        <f>CV4</f>
        <v>1</v>
      </c>
      <c r="CW14" s="39">
        <v>1.28</v>
      </c>
      <c r="CX14" s="30">
        <f t="shared" si="12"/>
        <v>1.536</v>
      </c>
      <c r="CZ14" s="38"/>
      <c r="DA14" s="29" t="s">
        <v>254</v>
      </c>
      <c r="DB14" s="38">
        <v>1200</v>
      </c>
      <c r="DC14" s="38">
        <v>2</v>
      </c>
      <c r="DD14" s="39">
        <v>1.28</v>
      </c>
      <c r="DE14" s="30">
        <f t="shared" si="13"/>
        <v>3.072</v>
      </c>
      <c r="DG14" s="38"/>
      <c r="DH14" s="29" t="s">
        <v>254</v>
      </c>
      <c r="DI14" s="38">
        <v>1200</v>
      </c>
      <c r="DJ14" s="38">
        <v>2</v>
      </c>
      <c r="DK14" s="39">
        <v>1.28</v>
      </c>
      <c r="DL14" s="30">
        <f t="shared" si="14"/>
        <v>3.072</v>
      </c>
      <c r="DN14" s="38"/>
      <c r="DO14" s="29" t="s">
        <v>254</v>
      </c>
      <c r="DP14" s="38">
        <v>1200</v>
      </c>
      <c r="DQ14" s="38">
        <v>2</v>
      </c>
      <c r="DR14" s="39">
        <v>1.28</v>
      </c>
      <c r="DS14" s="30">
        <f t="shared" si="15"/>
        <v>3.072</v>
      </c>
      <c r="DU14" s="38"/>
      <c r="DV14" s="29" t="s">
        <v>254</v>
      </c>
      <c r="DW14" s="38">
        <v>1200</v>
      </c>
      <c r="DX14" s="38">
        <v>3</v>
      </c>
      <c r="DY14" s="39">
        <v>1.28</v>
      </c>
      <c r="DZ14" s="30">
        <f t="shared" si="16"/>
        <v>4.608</v>
      </c>
    </row>
    <row r="15" spans="2:130" ht="14.25">
      <c r="B15" s="38"/>
      <c r="C15" s="29" t="s">
        <v>255</v>
      </c>
      <c r="D15" s="38">
        <f>C5</f>
        <v>470</v>
      </c>
      <c r="E15" s="38">
        <f>E8</f>
        <v>2</v>
      </c>
      <c r="F15" s="39">
        <v>0.539</v>
      </c>
      <c r="G15" s="30">
        <f t="shared" si="0"/>
        <v>0.50666</v>
      </c>
      <c r="I15" s="38"/>
      <c r="J15" s="29" t="s">
        <v>255</v>
      </c>
      <c r="K15" s="38">
        <f>J5</f>
        <v>570</v>
      </c>
      <c r="L15" s="38">
        <f>L8</f>
        <v>2</v>
      </c>
      <c r="M15" s="39">
        <v>0.539</v>
      </c>
      <c r="N15" s="30">
        <f t="shared" si="1"/>
        <v>0.61446</v>
      </c>
      <c r="P15" s="38"/>
      <c r="Q15" s="29" t="s">
        <v>255</v>
      </c>
      <c r="R15" s="38">
        <f>Q5</f>
        <v>1170</v>
      </c>
      <c r="S15" s="38">
        <f>S8</f>
        <v>2</v>
      </c>
      <c r="T15" s="39">
        <v>0.539</v>
      </c>
      <c r="U15" s="30">
        <f t="shared" si="2"/>
        <v>1.26126</v>
      </c>
      <c r="W15" s="38"/>
      <c r="X15" s="29" t="s">
        <v>255</v>
      </c>
      <c r="Y15" s="38">
        <f>X5</f>
        <v>1470</v>
      </c>
      <c r="Z15" s="38">
        <f>Z8</f>
        <v>2</v>
      </c>
      <c r="AA15" s="39">
        <v>0.539</v>
      </c>
      <c r="AB15" s="30">
        <f t="shared" si="3"/>
        <v>1.5846600000000002</v>
      </c>
      <c r="AD15" s="38"/>
      <c r="AE15" s="29" t="s">
        <v>255</v>
      </c>
      <c r="AF15" s="38">
        <f>AE5</f>
        <v>470</v>
      </c>
      <c r="AG15" s="38">
        <f>AG8</f>
        <v>2</v>
      </c>
      <c r="AH15" s="39">
        <v>0.539</v>
      </c>
      <c r="AI15" s="30">
        <f t="shared" si="4"/>
        <v>0.50666</v>
      </c>
      <c r="AK15" s="38"/>
      <c r="AL15" s="29" t="s">
        <v>255</v>
      </c>
      <c r="AM15" s="38">
        <f>AL5</f>
        <v>470</v>
      </c>
      <c r="AN15" s="38">
        <f>AN8</f>
        <v>2</v>
      </c>
      <c r="AO15" s="39">
        <v>0.539</v>
      </c>
      <c r="AP15" s="30">
        <f t="shared" si="5"/>
        <v>0.50666</v>
      </c>
      <c r="AW15" s="38"/>
      <c r="AX15" s="29" t="s">
        <v>255</v>
      </c>
      <c r="AY15" s="38">
        <f>AX5</f>
        <v>590</v>
      </c>
      <c r="AZ15" s="38">
        <f>AZ8</f>
        <v>2</v>
      </c>
      <c r="BA15" s="39">
        <v>0.539</v>
      </c>
      <c r="BB15" s="30">
        <f t="shared" si="6"/>
        <v>0.6360200000000001</v>
      </c>
      <c r="BJ15" s="38"/>
      <c r="BK15" s="29" t="s">
        <v>255</v>
      </c>
      <c r="BL15" s="38">
        <f>BK5</f>
        <v>590</v>
      </c>
      <c r="BM15" s="38">
        <f>BM8</f>
        <v>2</v>
      </c>
      <c r="BN15" s="39">
        <v>0.539</v>
      </c>
      <c r="BO15" s="30">
        <f t="shared" si="7"/>
        <v>0.6360200000000001</v>
      </c>
      <c r="BQ15" s="38"/>
      <c r="BR15" s="29" t="s">
        <v>255</v>
      </c>
      <c r="BS15" s="38">
        <f>BR5</f>
        <v>1090</v>
      </c>
      <c r="BT15" s="38">
        <f>BT8</f>
        <v>2</v>
      </c>
      <c r="BU15" s="39">
        <v>0.539</v>
      </c>
      <c r="BV15" s="30">
        <f t="shared" si="8"/>
        <v>1.17502</v>
      </c>
      <c r="BX15" s="38"/>
      <c r="BY15" s="29" t="s">
        <v>255</v>
      </c>
      <c r="BZ15" s="38">
        <f>BY5</f>
        <v>1190</v>
      </c>
      <c r="CA15" s="38">
        <f>CA8</f>
        <v>2</v>
      </c>
      <c r="CB15" s="39">
        <v>0.539</v>
      </c>
      <c r="CC15" s="30">
        <f t="shared" si="9"/>
        <v>1.28282</v>
      </c>
      <c r="CE15" s="38"/>
      <c r="CF15" s="29" t="s">
        <v>255</v>
      </c>
      <c r="CG15" s="38">
        <f>CF5</f>
        <v>1190</v>
      </c>
      <c r="CH15" s="38">
        <f>CH8</f>
        <v>2</v>
      </c>
      <c r="CI15" s="39">
        <v>0.539</v>
      </c>
      <c r="CJ15" s="30">
        <f t="shared" si="10"/>
        <v>1.28282</v>
      </c>
      <c r="CL15" s="38"/>
      <c r="CM15" s="29" t="s">
        <v>255</v>
      </c>
      <c r="CN15" s="38">
        <f>CM5</f>
        <v>1490</v>
      </c>
      <c r="CO15" s="38">
        <f>CO8</f>
        <v>2</v>
      </c>
      <c r="CP15" s="39">
        <v>0.539</v>
      </c>
      <c r="CQ15" s="30">
        <f t="shared" si="11"/>
        <v>1.60622</v>
      </c>
      <c r="CS15" s="38"/>
      <c r="CT15" s="29" t="s">
        <v>255</v>
      </c>
      <c r="CU15" s="38">
        <f>CT5</f>
        <v>470</v>
      </c>
      <c r="CV15" s="38">
        <v>4</v>
      </c>
      <c r="CW15" s="39">
        <v>0.539</v>
      </c>
      <c r="CX15" s="30">
        <f t="shared" si="12"/>
        <v>1.01332</v>
      </c>
      <c r="CZ15" s="38"/>
      <c r="DA15" s="29" t="s">
        <v>255</v>
      </c>
      <c r="DB15" s="38">
        <f>DA5</f>
        <v>470</v>
      </c>
      <c r="DC15" s="38">
        <v>4</v>
      </c>
      <c r="DD15" s="39">
        <v>0.539</v>
      </c>
      <c r="DE15" s="30">
        <f t="shared" si="13"/>
        <v>1.01332</v>
      </c>
      <c r="DG15" s="38"/>
      <c r="DH15" s="29" t="s">
        <v>255</v>
      </c>
      <c r="DI15" s="38">
        <f>DH5</f>
        <v>470</v>
      </c>
      <c r="DJ15" s="38">
        <v>4</v>
      </c>
      <c r="DK15" s="39">
        <v>0.539</v>
      </c>
      <c r="DL15" s="30">
        <f t="shared" si="14"/>
        <v>1.01332</v>
      </c>
      <c r="DN15" s="38"/>
      <c r="DO15" s="29" t="s">
        <v>255</v>
      </c>
      <c r="DP15" s="38">
        <f>DO5</f>
        <v>570</v>
      </c>
      <c r="DQ15" s="38">
        <v>4</v>
      </c>
      <c r="DR15" s="39">
        <v>0.539</v>
      </c>
      <c r="DS15" s="30">
        <f t="shared" si="15"/>
        <v>1.22892</v>
      </c>
      <c r="DU15" s="38"/>
      <c r="DV15" s="29" t="s">
        <v>255</v>
      </c>
      <c r="DW15" s="38">
        <f>DV5</f>
        <v>1070</v>
      </c>
      <c r="DX15" s="38">
        <v>4</v>
      </c>
      <c r="DY15" s="39">
        <v>0.539</v>
      </c>
      <c r="DZ15" s="30">
        <f t="shared" si="16"/>
        <v>2.30692</v>
      </c>
    </row>
    <row r="16" spans="2:130" ht="14.25">
      <c r="B16" s="38"/>
      <c r="C16" s="38" t="s">
        <v>256</v>
      </c>
      <c r="D16" s="38"/>
      <c r="E16" s="38"/>
      <c r="F16" s="39">
        <v>0.774</v>
      </c>
      <c r="G16" s="30">
        <f t="shared" si="0"/>
        <v>0</v>
      </c>
      <c r="I16" s="38"/>
      <c r="J16" s="38" t="s">
        <v>256</v>
      </c>
      <c r="K16" s="38"/>
      <c r="L16" s="38"/>
      <c r="M16" s="39">
        <v>0.774</v>
      </c>
      <c r="N16" s="30">
        <f t="shared" si="1"/>
        <v>0</v>
      </c>
      <c r="P16" s="38"/>
      <c r="Q16" s="38" t="s">
        <v>256</v>
      </c>
      <c r="R16" s="38"/>
      <c r="S16" s="38"/>
      <c r="T16" s="39">
        <v>0.774</v>
      </c>
      <c r="U16" s="30">
        <f t="shared" si="2"/>
        <v>0</v>
      </c>
      <c r="W16" s="38"/>
      <c r="X16" s="38" t="s">
        <v>256</v>
      </c>
      <c r="Y16" s="38"/>
      <c r="Z16" s="38"/>
      <c r="AA16" s="39">
        <v>0.774</v>
      </c>
      <c r="AB16" s="30">
        <f t="shared" si="3"/>
        <v>0</v>
      </c>
      <c r="AD16" s="38"/>
      <c r="AE16" s="38" t="s">
        <v>256</v>
      </c>
      <c r="AF16" s="38">
        <f>AF4</f>
        <v>1770</v>
      </c>
      <c r="AG16" s="38">
        <f>1</f>
        <v>1</v>
      </c>
      <c r="AH16" s="39">
        <v>0.774</v>
      </c>
      <c r="AI16" s="30">
        <f t="shared" si="4"/>
        <v>1.36998</v>
      </c>
      <c r="AK16" s="38"/>
      <c r="AL16" s="38" t="s">
        <v>256</v>
      </c>
      <c r="AM16" s="38">
        <f>AM4</f>
        <v>1770</v>
      </c>
      <c r="AN16" s="38">
        <f>1</f>
        <v>1</v>
      </c>
      <c r="AO16" s="39">
        <v>0.774</v>
      </c>
      <c r="AP16" s="30">
        <f t="shared" si="5"/>
        <v>1.36998</v>
      </c>
      <c r="AW16" s="38"/>
      <c r="AX16" s="38" t="s">
        <v>256</v>
      </c>
      <c r="AY16" s="38">
        <f>AY4</f>
        <v>2070</v>
      </c>
      <c r="AZ16" s="38">
        <f>1</f>
        <v>1</v>
      </c>
      <c r="BA16" s="39">
        <v>0.774</v>
      </c>
      <c r="BB16" s="30">
        <f t="shared" si="6"/>
        <v>1.6021800000000002</v>
      </c>
      <c r="BJ16" s="38"/>
      <c r="BK16" s="38" t="s">
        <v>256</v>
      </c>
      <c r="BL16" s="38">
        <f>BL4</f>
        <v>2070</v>
      </c>
      <c r="BM16" s="38">
        <f>1</f>
        <v>1</v>
      </c>
      <c r="BN16" s="39">
        <v>0.774</v>
      </c>
      <c r="BO16" s="30">
        <f t="shared" si="7"/>
        <v>1.6021800000000002</v>
      </c>
      <c r="BQ16" s="38"/>
      <c r="BR16" s="38" t="s">
        <v>256</v>
      </c>
      <c r="BS16" s="38">
        <f>BS4</f>
        <v>2570</v>
      </c>
      <c r="BT16" s="38">
        <f>1</f>
        <v>1</v>
      </c>
      <c r="BU16" s="39">
        <v>0.774</v>
      </c>
      <c r="BV16" s="30">
        <f t="shared" si="8"/>
        <v>1.9891800000000002</v>
      </c>
      <c r="BX16" s="38"/>
      <c r="BY16" s="38" t="s">
        <v>256</v>
      </c>
      <c r="BZ16" s="38">
        <f>BZ4</f>
        <v>2670</v>
      </c>
      <c r="CA16" s="38">
        <f>1</f>
        <v>1</v>
      </c>
      <c r="CB16" s="39">
        <v>0.774</v>
      </c>
      <c r="CC16" s="30">
        <f t="shared" si="9"/>
        <v>2.06658</v>
      </c>
      <c r="CE16" s="38"/>
      <c r="CF16" s="38" t="s">
        <v>256</v>
      </c>
      <c r="CG16" s="38">
        <f>CG4</f>
        <v>2670</v>
      </c>
      <c r="CH16" s="38">
        <f>1</f>
        <v>1</v>
      </c>
      <c r="CI16" s="39">
        <v>0.774</v>
      </c>
      <c r="CJ16" s="30">
        <f t="shared" si="10"/>
        <v>2.06658</v>
      </c>
      <c r="CL16" s="38"/>
      <c r="CM16" s="38" t="s">
        <v>256</v>
      </c>
      <c r="CN16" s="38">
        <f>CN4</f>
        <v>2970</v>
      </c>
      <c r="CO16" s="38">
        <f>1</f>
        <v>1</v>
      </c>
      <c r="CP16" s="39">
        <v>0.774</v>
      </c>
      <c r="CQ16" s="30">
        <f t="shared" si="11"/>
        <v>2.2987800000000003</v>
      </c>
      <c r="CS16" s="38"/>
      <c r="CT16" s="38" t="s">
        <v>256</v>
      </c>
      <c r="CU16" s="38">
        <f>CU4</f>
        <v>1770</v>
      </c>
      <c r="CV16" s="38">
        <v>2</v>
      </c>
      <c r="CW16" s="39">
        <v>0.774</v>
      </c>
      <c r="CX16" s="30">
        <f t="shared" si="12"/>
        <v>2.73996</v>
      </c>
      <c r="CZ16" s="38"/>
      <c r="DA16" s="38" t="s">
        <v>256</v>
      </c>
      <c r="DB16" s="38">
        <f>DB4</f>
        <v>1770</v>
      </c>
      <c r="DC16" s="38">
        <v>2</v>
      </c>
      <c r="DD16" s="39">
        <v>0.774</v>
      </c>
      <c r="DE16" s="30">
        <f t="shared" si="13"/>
        <v>2.73996</v>
      </c>
      <c r="DG16" s="38"/>
      <c r="DH16" s="38" t="s">
        <v>256</v>
      </c>
      <c r="DI16" s="38">
        <f>DI4</f>
        <v>1770</v>
      </c>
      <c r="DJ16" s="38">
        <v>2</v>
      </c>
      <c r="DK16" s="39">
        <v>0.774</v>
      </c>
      <c r="DL16" s="30">
        <f t="shared" si="14"/>
        <v>2.73996</v>
      </c>
      <c r="DN16" s="38"/>
      <c r="DO16" s="38" t="s">
        <v>256</v>
      </c>
      <c r="DP16" s="38">
        <f>DP4</f>
        <v>2070</v>
      </c>
      <c r="DQ16" s="38">
        <v>2</v>
      </c>
      <c r="DR16" s="39">
        <v>0.774</v>
      </c>
      <c r="DS16" s="30">
        <f t="shared" si="15"/>
        <v>3.2043600000000003</v>
      </c>
      <c r="DU16" s="38"/>
      <c r="DV16" s="38" t="s">
        <v>256</v>
      </c>
      <c r="DW16" s="38">
        <f>DW4</f>
        <v>2570</v>
      </c>
      <c r="DX16" s="38">
        <v>2</v>
      </c>
      <c r="DY16" s="39">
        <v>0.774</v>
      </c>
      <c r="DZ16" s="30">
        <f t="shared" si="16"/>
        <v>3.9783600000000003</v>
      </c>
    </row>
    <row r="17" spans="2:130" ht="14.25">
      <c r="B17" s="40" t="s">
        <v>257</v>
      </c>
      <c r="C17" s="40"/>
      <c r="D17" s="40">
        <f>(C4-30+50)/2</f>
        <v>745</v>
      </c>
      <c r="E17" s="40">
        <f>D5-50</f>
        <v>1250</v>
      </c>
      <c r="F17" s="40">
        <f>E4*2</f>
        <v>2</v>
      </c>
      <c r="G17" s="30">
        <f>F17*E18*D17/1000</f>
        <v>2.98</v>
      </c>
      <c r="I17" s="40" t="s">
        <v>257</v>
      </c>
      <c r="J17" s="40"/>
      <c r="K17" s="40">
        <f>(J4-30+50)/2</f>
        <v>745</v>
      </c>
      <c r="L17" s="40">
        <f>K5-50</f>
        <v>1450</v>
      </c>
      <c r="M17" s="40">
        <f>L4*2</f>
        <v>2</v>
      </c>
      <c r="N17" s="30">
        <f>M17*L18*K17/1000</f>
        <v>2.98</v>
      </c>
      <c r="P17" s="40" t="s">
        <v>257</v>
      </c>
      <c r="Q17" s="40"/>
      <c r="R17" s="40">
        <f>(Q4-30+50)/2</f>
        <v>745</v>
      </c>
      <c r="S17" s="40">
        <f>R5-50</f>
        <v>1450</v>
      </c>
      <c r="T17" s="40">
        <f>S4*2</f>
        <v>2</v>
      </c>
      <c r="U17" s="30">
        <f>T17*S18*R17/1000</f>
        <v>2.98</v>
      </c>
      <c r="W17" s="40" t="s">
        <v>257</v>
      </c>
      <c r="X17" s="40"/>
      <c r="Y17" s="40">
        <f>(X4-30+50)/2</f>
        <v>745</v>
      </c>
      <c r="Z17" s="40">
        <f>Y5-50</f>
        <v>1450</v>
      </c>
      <c r="AA17" s="40">
        <f>Z4*2</f>
        <v>2</v>
      </c>
      <c r="AB17" s="30">
        <f>AA17*Z18*Y17/1000</f>
        <v>2.98</v>
      </c>
      <c r="AD17" s="40" t="s">
        <v>257</v>
      </c>
      <c r="AE17" s="40"/>
      <c r="AF17" s="40">
        <f>(1500-30+50)/2</f>
        <v>760</v>
      </c>
      <c r="AG17" s="40">
        <f>AF5-50</f>
        <v>1250</v>
      </c>
      <c r="AH17" s="40">
        <f>AG4*2</f>
        <v>2</v>
      </c>
      <c r="AI17" s="30">
        <f>AH17*AG18*AF17/1000</f>
        <v>3.04</v>
      </c>
      <c r="AK17" s="40" t="s">
        <v>257</v>
      </c>
      <c r="AL17" s="40"/>
      <c r="AM17" s="40">
        <f>(1500-30+50)/2</f>
        <v>760</v>
      </c>
      <c r="AN17" s="40">
        <f>AM5-50</f>
        <v>1250</v>
      </c>
      <c r="AO17" s="40">
        <f>AN4*2</f>
        <v>2</v>
      </c>
      <c r="AP17" s="30">
        <f>AO17*AN18*AM17/1000</f>
        <v>3.04</v>
      </c>
      <c r="AW17" s="40" t="s">
        <v>257</v>
      </c>
      <c r="AX17" s="40"/>
      <c r="AY17" s="40">
        <f>(1500-30+50)/2</f>
        <v>760</v>
      </c>
      <c r="AZ17" s="40">
        <f>AY5-50</f>
        <v>1430</v>
      </c>
      <c r="BA17" s="40">
        <f>AZ4*2</f>
        <v>2</v>
      </c>
      <c r="BB17" s="30">
        <f>BA17*AZ18*AY17/1000</f>
        <v>3.04</v>
      </c>
      <c r="BJ17" s="40" t="s">
        <v>257</v>
      </c>
      <c r="BK17" s="40"/>
      <c r="BL17" s="40">
        <f>(1500-30+50)/2</f>
        <v>760</v>
      </c>
      <c r="BM17" s="40">
        <f>BL5-50</f>
        <v>1430</v>
      </c>
      <c r="BN17" s="40">
        <f>BM4*2</f>
        <v>2</v>
      </c>
      <c r="BO17" s="30">
        <f>BN17*BM18*BL17/1000</f>
        <v>3.04</v>
      </c>
      <c r="BQ17" s="40" t="s">
        <v>257</v>
      </c>
      <c r="BR17" s="40"/>
      <c r="BS17" s="40">
        <f>(1500-30+50)/2</f>
        <v>760</v>
      </c>
      <c r="BT17" s="40">
        <f>BS5-50</f>
        <v>1430</v>
      </c>
      <c r="BU17" s="40">
        <f>BT4*2</f>
        <v>2</v>
      </c>
      <c r="BV17" s="30">
        <f>BU17*BT18*BS17/1000</f>
        <v>3.04</v>
      </c>
      <c r="BX17" s="40" t="s">
        <v>257</v>
      </c>
      <c r="BY17" s="40"/>
      <c r="BZ17" s="40">
        <f>(1500-30+50)/2</f>
        <v>760</v>
      </c>
      <c r="CA17" s="40">
        <f>BZ5-50</f>
        <v>1430</v>
      </c>
      <c r="CB17" s="40">
        <f>CA4*2</f>
        <v>2</v>
      </c>
      <c r="CC17" s="30">
        <f>CB17*CA18*BZ17/1000</f>
        <v>3.04</v>
      </c>
      <c r="CE17" s="40" t="s">
        <v>257</v>
      </c>
      <c r="CF17" s="40"/>
      <c r="CG17" s="40">
        <f>(1500-30+50)/2</f>
        <v>760</v>
      </c>
      <c r="CH17" s="40">
        <f>CG5-50</f>
        <v>1430</v>
      </c>
      <c r="CI17" s="40">
        <f>CH4*2</f>
        <v>2</v>
      </c>
      <c r="CJ17" s="30">
        <f>CI17*CH18*CG17/1000</f>
        <v>3.04</v>
      </c>
      <c r="CL17" s="40" t="s">
        <v>257</v>
      </c>
      <c r="CM17" s="40"/>
      <c r="CN17" s="40">
        <f>(1500-30+50)/2</f>
        <v>760</v>
      </c>
      <c r="CO17" s="40">
        <f>CN5-50</f>
        <v>1430</v>
      </c>
      <c r="CP17" s="40">
        <f>CO4*2</f>
        <v>2</v>
      </c>
      <c r="CQ17" s="30">
        <f>CP17*CO18*CN17/1000</f>
        <v>3.04</v>
      </c>
      <c r="CS17" s="40" t="s">
        <v>257</v>
      </c>
      <c r="CT17" s="40"/>
      <c r="CU17" s="40">
        <f>(1500-30+50)/2</f>
        <v>760</v>
      </c>
      <c r="CV17" s="40">
        <f>CU5-50</f>
        <v>1250</v>
      </c>
      <c r="CW17" s="40">
        <v>4</v>
      </c>
      <c r="CX17" s="30">
        <f>CW17*CV18*CU17/1000</f>
        <v>12.16</v>
      </c>
      <c r="CZ17" s="40" t="s">
        <v>257</v>
      </c>
      <c r="DA17" s="40"/>
      <c r="DB17" s="40">
        <f>(1500-30+50)/2</f>
        <v>760</v>
      </c>
      <c r="DC17" s="40">
        <f>DB5-50</f>
        <v>1250</v>
      </c>
      <c r="DD17" s="40">
        <v>4</v>
      </c>
      <c r="DE17" s="30">
        <f>DD17*DC18*DB17/1000</f>
        <v>12.16</v>
      </c>
      <c r="DG17" s="40" t="s">
        <v>257</v>
      </c>
      <c r="DH17" s="40"/>
      <c r="DI17" s="40">
        <f>(1500-30+50)/2</f>
        <v>760</v>
      </c>
      <c r="DJ17" s="40">
        <f>DI5-50</f>
        <v>1250</v>
      </c>
      <c r="DK17" s="40">
        <v>4</v>
      </c>
      <c r="DL17" s="30">
        <f>DK17*DJ18*DI17/1000</f>
        <v>12.16</v>
      </c>
      <c r="DN17" s="40" t="s">
        <v>257</v>
      </c>
      <c r="DO17" s="40"/>
      <c r="DP17" s="40">
        <f>(1500-30+50)/2</f>
        <v>760</v>
      </c>
      <c r="DQ17" s="40">
        <f>DP5-50</f>
        <v>1450</v>
      </c>
      <c r="DR17" s="40">
        <v>4</v>
      </c>
      <c r="DS17" s="30">
        <f>DR17*DQ18*DP17/1000</f>
        <v>12.16</v>
      </c>
      <c r="DU17" s="40" t="s">
        <v>257</v>
      </c>
      <c r="DV17" s="40"/>
      <c r="DW17" s="40">
        <f>(1500-30+50)/2</f>
        <v>760</v>
      </c>
      <c r="DX17" s="40">
        <f>DW5-50</f>
        <v>1450</v>
      </c>
      <c r="DY17" s="40">
        <v>4</v>
      </c>
      <c r="DZ17" s="30">
        <f>DY17*DX18*DW17/1000</f>
        <v>12.16</v>
      </c>
    </row>
    <row r="18" spans="2:130" ht="14.25">
      <c r="B18" s="38">
        <v>7</v>
      </c>
      <c r="C18" s="29" t="s">
        <v>258</v>
      </c>
      <c r="D18" s="38">
        <f>E17</f>
        <v>1250</v>
      </c>
      <c r="E18" s="38">
        <f>F17</f>
        <v>2</v>
      </c>
      <c r="F18" s="39">
        <v>0.762</v>
      </c>
      <c r="G18" s="30">
        <f aca="true" t="shared" si="34" ref="G18:G24">F18*E18*D18/1000</f>
        <v>1.905</v>
      </c>
      <c r="I18" s="38">
        <v>7</v>
      </c>
      <c r="J18" s="29" t="s">
        <v>258</v>
      </c>
      <c r="K18" s="38">
        <f>L17</f>
        <v>1450</v>
      </c>
      <c r="L18" s="38">
        <f>M17</f>
        <v>2</v>
      </c>
      <c r="M18" s="39">
        <v>0.762</v>
      </c>
      <c r="N18" s="30">
        <f aca="true" t="shared" si="35" ref="N18:N24">M18*L18*K18/1000</f>
        <v>2.2098</v>
      </c>
      <c r="P18" s="38">
        <v>7</v>
      </c>
      <c r="Q18" s="29" t="s">
        <v>258</v>
      </c>
      <c r="R18" s="38">
        <f>S17</f>
        <v>1450</v>
      </c>
      <c r="S18" s="38">
        <f>T17</f>
        <v>2</v>
      </c>
      <c r="T18" s="39">
        <v>0.762</v>
      </c>
      <c r="U18" s="30">
        <f aca="true" t="shared" si="36" ref="U18:U24">T18*S18*R18/1000</f>
        <v>2.2098</v>
      </c>
      <c r="W18" s="38">
        <v>7</v>
      </c>
      <c r="X18" s="29" t="s">
        <v>258</v>
      </c>
      <c r="Y18" s="38">
        <f>Z17</f>
        <v>1450</v>
      </c>
      <c r="Z18" s="38">
        <f>AA17</f>
        <v>2</v>
      </c>
      <c r="AA18" s="39">
        <v>0.762</v>
      </c>
      <c r="AB18" s="30">
        <f aca="true" t="shared" si="37" ref="AB18:AB24">AA18*Z18*Y18/1000</f>
        <v>2.2098</v>
      </c>
      <c r="AD18" s="38">
        <v>7</v>
      </c>
      <c r="AE18" s="29" t="s">
        <v>258</v>
      </c>
      <c r="AF18" s="38">
        <f>AG17</f>
        <v>1250</v>
      </c>
      <c r="AG18" s="38">
        <f>AH17</f>
        <v>2</v>
      </c>
      <c r="AH18" s="39">
        <v>0.762</v>
      </c>
      <c r="AI18" s="30">
        <f aca="true" t="shared" si="38" ref="AI18:AI27">AH18*AG18*AF18/1000</f>
        <v>1.905</v>
      </c>
      <c r="AK18" s="38">
        <v>7</v>
      </c>
      <c r="AL18" s="29" t="s">
        <v>258</v>
      </c>
      <c r="AM18" s="38">
        <f>AN17</f>
        <v>1250</v>
      </c>
      <c r="AN18" s="38">
        <f>AO17</f>
        <v>2</v>
      </c>
      <c r="AO18" s="39">
        <v>0.762</v>
      </c>
      <c r="AP18" s="30">
        <f aca="true" t="shared" si="39" ref="AP18:AP27">AO18*AN18*AM18/1000</f>
        <v>1.905</v>
      </c>
      <c r="AW18" s="38">
        <v>7</v>
      </c>
      <c r="AX18" s="29" t="s">
        <v>258</v>
      </c>
      <c r="AY18" s="38">
        <f>AZ17</f>
        <v>1430</v>
      </c>
      <c r="AZ18" s="38">
        <f>BA17</f>
        <v>2</v>
      </c>
      <c r="BA18" s="39">
        <v>0.762</v>
      </c>
      <c r="BB18" s="30">
        <f aca="true" t="shared" si="40" ref="BB18:BB27">BA18*AZ18*AY18/1000</f>
        <v>2.17932</v>
      </c>
      <c r="BJ18" s="38">
        <v>7</v>
      </c>
      <c r="BK18" s="29" t="s">
        <v>258</v>
      </c>
      <c r="BL18" s="38">
        <f>BM17</f>
        <v>1430</v>
      </c>
      <c r="BM18" s="38">
        <f>BN17</f>
        <v>2</v>
      </c>
      <c r="BN18" s="39">
        <v>0.762</v>
      </c>
      <c r="BO18" s="30">
        <f aca="true" t="shared" si="41" ref="BO18:BO27">BN18*BM18*BL18/1000</f>
        <v>2.17932</v>
      </c>
      <c r="BQ18" s="38">
        <v>7</v>
      </c>
      <c r="BR18" s="29" t="s">
        <v>258</v>
      </c>
      <c r="BS18" s="38">
        <f>BT17</f>
        <v>1430</v>
      </c>
      <c r="BT18" s="38">
        <f>BU17</f>
        <v>2</v>
      </c>
      <c r="BU18" s="39">
        <v>0.762</v>
      </c>
      <c r="BV18" s="30">
        <f aca="true" t="shared" si="42" ref="BV18:BV27">BU18*BT18*BS18/1000</f>
        <v>2.17932</v>
      </c>
      <c r="BX18" s="38">
        <v>7</v>
      </c>
      <c r="BY18" s="29" t="s">
        <v>258</v>
      </c>
      <c r="BZ18" s="38">
        <f>CA17</f>
        <v>1430</v>
      </c>
      <c r="CA18" s="38">
        <f>CB17</f>
        <v>2</v>
      </c>
      <c r="CB18" s="39">
        <v>0.762</v>
      </c>
      <c r="CC18" s="30">
        <f aca="true" t="shared" si="43" ref="CC18:CC27">CB18*CA18*BZ18/1000</f>
        <v>2.17932</v>
      </c>
      <c r="CE18" s="38">
        <v>7</v>
      </c>
      <c r="CF18" s="29" t="s">
        <v>258</v>
      </c>
      <c r="CG18" s="38">
        <f>CH17</f>
        <v>1430</v>
      </c>
      <c r="CH18" s="38">
        <f>CI17</f>
        <v>2</v>
      </c>
      <c r="CI18" s="39">
        <v>0.762</v>
      </c>
      <c r="CJ18" s="30">
        <f aca="true" t="shared" si="44" ref="CJ18:CJ27">CI18*CH18*CG18/1000</f>
        <v>2.17932</v>
      </c>
      <c r="CL18" s="38">
        <v>7</v>
      </c>
      <c r="CM18" s="29" t="s">
        <v>258</v>
      </c>
      <c r="CN18" s="38">
        <f>CO17</f>
        <v>1430</v>
      </c>
      <c r="CO18" s="38">
        <f>CP17</f>
        <v>2</v>
      </c>
      <c r="CP18" s="39">
        <v>0.762</v>
      </c>
      <c r="CQ18" s="30">
        <f aca="true" t="shared" si="45" ref="CQ18:CQ27">CP18*CO18*CN18/1000</f>
        <v>2.17932</v>
      </c>
      <c r="CS18" s="38">
        <v>7</v>
      </c>
      <c r="CT18" s="29" t="s">
        <v>258</v>
      </c>
      <c r="CU18" s="38">
        <f>CV17</f>
        <v>1250</v>
      </c>
      <c r="CV18" s="38">
        <f>CW17</f>
        <v>4</v>
      </c>
      <c r="CW18" s="39">
        <v>0.762</v>
      </c>
      <c r="CX18" s="30">
        <f aca="true" t="shared" si="46" ref="CX18:CX27">CW18*CV18*CU18/1000</f>
        <v>3.81</v>
      </c>
      <c r="CZ18" s="38">
        <v>7</v>
      </c>
      <c r="DA18" s="29" t="s">
        <v>258</v>
      </c>
      <c r="DB18" s="38">
        <f>DC17</f>
        <v>1250</v>
      </c>
      <c r="DC18" s="38">
        <f>DD17</f>
        <v>4</v>
      </c>
      <c r="DD18" s="39">
        <v>0.762</v>
      </c>
      <c r="DE18" s="30">
        <f aca="true" t="shared" si="47" ref="DE18:DE27">DD18*DC18*DB18/1000</f>
        <v>3.81</v>
      </c>
      <c r="DG18" s="38">
        <v>7</v>
      </c>
      <c r="DH18" s="29" t="s">
        <v>258</v>
      </c>
      <c r="DI18" s="38">
        <f>DJ17</f>
        <v>1250</v>
      </c>
      <c r="DJ18" s="38">
        <f>DK17</f>
        <v>4</v>
      </c>
      <c r="DK18" s="39">
        <v>0.762</v>
      </c>
      <c r="DL18" s="30">
        <f aca="true" t="shared" si="48" ref="DL18:DL27">DK18*DJ18*DI18/1000</f>
        <v>3.81</v>
      </c>
      <c r="DN18" s="38">
        <v>7</v>
      </c>
      <c r="DO18" s="29" t="s">
        <v>258</v>
      </c>
      <c r="DP18" s="38">
        <f>DQ17</f>
        <v>1450</v>
      </c>
      <c r="DQ18" s="38">
        <f>DR17</f>
        <v>4</v>
      </c>
      <c r="DR18" s="39">
        <v>0.762</v>
      </c>
      <c r="DS18" s="30">
        <f aca="true" t="shared" si="49" ref="DS18:DS27">DR18*DQ18*DP18/1000</f>
        <v>4.4196</v>
      </c>
      <c r="DU18" s="38">
        <v>7</v>
      </c>
      <c r="DV18" s="29" t="s">
        <v>258</v>
      </c>
      <c r="DW18" s="38">
        <f>DX17</f>
        <v>1450</v>
      </c>
      <c r="DX18" s="38">
        <f>DY17</f>
        <v>4</v>
      </c>
      <c r="DY18" s="39">
        <v>0.762</v>
      </c>
      <c r="DZ18" s="30">
        <f aca="true" t="shared" si="50" ref="DZ18:DZ27">DY18*DX18*DW18/1000</f>
        <v>4.4196</v>
      </c>
    </row>
    <row r="19" spans="2:130" ht="14.25">
      <c r="B19" s="38"/>
      <c r="C19" s="29" t="s">
        <v>259</v>
      </c>
      <c r="D19" s="38">
        <f aca="true" t="shared" si="51" ref="D19:D22">D18</f>
        <v>1250</v>
      </c>
      <c r="E19" s="38">
        <f aca="true" t="shared" si="52" ref="E19:E22">E18</f>
        <v>2</v>
      </c>
      <c r="F19" s="39">
        <v>0.774</v>
      </c>
      <c r="G19" s="30">
        <f t="shared" si="34"/>
        <v>1.935</v>
      </c>
      <c r="I19" s="38"/>
      <c r="J19" s="29" t="s">
        <v>259</v>
      </c>
      <c r="K19" s="38">
        <f aca="true" t="shared" si="53" ref="K19:K22">K18</f>
        <v>1450</v>
      </c>
      <c r="L19" s="38">
        <f aca="true" t="shared" si="54" ref="L19:L22">L18</f>
        <v>2</v>
      </c>
      <c r="M19" s="39">
        <v>0.774</v>
      </c>
      <c r="N19" s="30">
        <f t="shared" si="35"/>
        <v>2.2445999999999997</v>
      </c>
      <c r="P19" s="38"/>
      <c r="Q19" s="29" t="s">
        <v>259</v>
      </c>
      <c r="R19" s="38">
        <f aca="true" t="shared" si="55" ref="R19:R22">R18</f>
        <v>1450</v>
      </c>
      <c r="S19" s="38">
        <f aca="true" t="shared" si="56" ref="S19:S22">S18</f>
        <v>2</v>
      </c>
      <c r="T19" s="39">
        <v>0.774</v>
      </c>
      <c r="U19" s="30">
        <f t="shared" si="36"/>
        <v>2.2445999999999997</v>
      </c>
      <c r="W19" s="38"/>
      <c r="X19" s="29" t="s">
        <v>259</v>
      </c>
      <c r="Y19" s="38">
        <f aca="true" t="shared" si="57" ref="Y19:Y22">Y18</f>
        <v>1450</v>
      </c>
      <c r="Z19" s="38">
        <f aca="true" t="shared" si="58" ref="Z19:Z22">Z18</f>
        <v>2</v>
      </c>
      <c r="AA19" s="39">
        <v>0.774</v>
      </c>
      <c r="AB19" s="30">
        <f t="shared" si="37"/>
        <v>2.2445999999999997</v>
      </c>
      <c r="AD19" s="38"/>
      <c r="AE19" s="29" t="s">
        <v>259</v>
      </c>
      <c r="AF19" s="38">
        <f aca="true" t="shared" si="59" ref="AF19:AF22">AF18</f>
        <v>1250</v>
      </c>
      <c r="AG19" s="38">
        <f aca="true" t="shared" si="60" ref="AG19:AG22">AG18</f>
        <v>2</v>
      </c>
      <c r="AH19" s="39">
        <v>0.774</v>
      </c>
      <c r="AI19" s="30">
        <f t="shared" si="38"/>
        <v>1.935</v>
      </c>
      <c r="AK19" s="38"/>
      <c r="AL19" s="29" t="s">
        <v>259</v>
      </c>
      <c r="AM19" s="38">
        <f aca="true" t="shared" si="61" ref="AM19:AM22">AM18</f>
        <v>1250</v>
      </c>
      <c r="AN19" s="38">
        <f aca="true" t="shared" si="62" ref="AN19:AN22">AN18</f>
        <v>2</v>
      </c>
      <c r="AO19" s="39">
        <v>0.774</v>
      </c>
      <c r="AP19" s="30">
        <f t="shared" si="39"/>
        <v>1.935</v>
      </c>
      <c r="AW19" s="38"/>
      <c r="AX19" s="29" t="s">
        <v>259</v>
      </c>
      <c r="AY19" s="38">
        <f aca="true" t="shared" si="63" ref="AY19:AY22">AY18</f>
        <v>1430</v>
      </c>
      <c r="AZ19" s="38">
        <f aca="true" t="shared" si="64" ref="AZ19:AZ22">AZ18</f>
        <v>2</v>
      </c>
      <c r="BA19" s="39">
        <v>0.774</v>
      </c>
      <c r="BB19" s="30">
        <f t="shared" si="40"/>
        <v>2.21364</v>
      </c>
      <c r="BJ19" s="38"/>
      <c r="BK19" s="29" t="s">
        <v>259</v>
      </c>
      <c r="BL19" s="38">
        <f aca="true" t="shared" si="65" ref="BL19:BL22">BL18</f>
        <v>1430</v>
      </c>
      <c r="BM19" s="38">
        <f aca="true" t="shared" si="66" ref="BM19:BM22">BM18</f>
        <v>2</v>
      </c>
      <c r="BN19" s="39">
        <v>0.774</v>
      </c>
      <c r="BO19" s="30">
        <f t="shared" si="41"/>
        <v>2.21364</v>
      </c>
      <c r="BQ19" s="38"/>
      <c r="BR19" s="29" t="s">
        <v>259</v>
      </c>
      <c r="BS19" s="38">
        <f aca="true" t="shared" si="67" ref="BS19:BS22">BS18</f>
        <v>1430</v>
      </c>
      <c r="BT19" s="38">
        <f aca="true" t="shared" si="68" ref="BT19:BT22">BT18</f>
        <v>2</v>
      </c>
      <c r="BU19" s="39">
        <v>0.774</v>
      </c>
      <c r="BV19" s="30">
        <f t="shared" si="42"/>
        <v>2.21364</v>
      </c>
      <c r="BX19" s="38"/>
      <c r="BY19" s="29" t="s">
        <v>259</v>
      </c>
      <c r="BZ19" s="38">
        <f aca="true" t="shared" si="69" ref="BZ19:BZ22">BZ18</f>
        <v>1430</v>
      </c>
      <c r="CA19" s="38">
        <f aca="true" t="shared" si="70" ref="CA19:CA22">CA18</f>
        <v>2</v>
      </c>
      <c r="CB19" s="39">
        <v>0.774</v>
      </c>
      <c r="CC19" s="30">
        <f t="shared" si="43"/>
        <v>2.21364</v>
      </c>
      <c r="CE19" s="38"/>
      <c r="CF19" s="29" t="s">
        <v>259</v>
      </c>
      <c r="CG19" s="38">
        <f aca="true" t="shared" si="71" ref="CG19:CG22">CG18</f>
        <v>1430</v>
      </c>
      <c r="CH19" s="38">
        <f aca="true" t="shared" si="72" ref="CH19:CH22">CH18</f>
        <v>2</v>
      </c>
      <c r="CI19" s="39">
        <v>0.774</v>
      </c>
      <c r="CJ19" s="30">
        <f t="shared" si="44"/>
        <v>2.21364</v>
      </c>
      <c r="CL19" s="38"/>
      <c r="CM19" s="29" t="s">
        <v>259</v>
      </c>
      <c r="CN19" s="38">
        <f aca="true" t="shared" si="73" ref="CN19:CN22">CN18</f>
        <v>1430</v>
      </c>
      <c r="CO19" s="38">
        <f aca="true" t="shared" si="74" ref="CO19:CO22">CO18</f>
        <v>2</v>
      </c>
      <c r="CP19" s="39">
        <v>0.774</v>
      </c>
      <c r="CQ19" s="30">
        <f t="shared" si="45"/>
        <v>2.21364</v>
      </c>
      <c r="CS19" s="38"/>
      <c r="CT19" s="29" t="s">
        <v>259</v>
      </c>
      <c r="CU19" s="38">
        <f aca="true" t="shared" si="75" ref="CU19:CU22">CU18</f>
        <v>1250</v>
      </c>
      <c r="CV19" s="38">
        <f aca="true" t="shared" si="76" ref="CV19:CV22">CV18</f>
        <v>4</v>
      </c>
      <c r="CW19" s="39">
        <v>0.774</v>
      </c>
      <c r="CX19" s="30">
        <f t="shared" si="46"/>
        <v>3.87</v>
      </c>
      <c r="CZ19" s="38"/>
      <c r="DA19" s="29" t="s">
        <v>259</v>
      </c>
      <c r="DB19" s="38">
        <f aca="true" t="shared" si="77" ref="DB19:DB22">DB18</f>
        <v>1250</v>
      </c>
      <c r="DC19" s="38">
        <f aca="true" t="shared" si="78" ref="DC19:DC22">DC18</f>
        <v>4</v>
      </c>
      <c r="DD19" s="39">
        <v>0.774</v>
      </c>
      <c r="DE19" s="30">
        <f t="shared" si="47"/>
        <v>3.87</v>
      </c>
      <c r="DG19" s="38"/>
      <c r="DH19" s="29" t="s">
        <v>259</v>
      </c>
      <c r="DI19" s="38">
        <f aca="true" t="shared" si="79" ref="DI19:DI22">DI18</f>
        <v>1250</v>
      </c>
      <c r="DJ19" s="38">
        <f aca="true" t="shared" si="80" ref="DJ19:DJ22">DJ18</f>
        <v>4</v>
      </c>
      <c r="DK19" s="39">
        <v>0.774</v>
      </c>
      <c r="DL19" s="30">
        <f t="shared" si="48"/>
        <v>3.87</v>
      </c>
      <c r="DN19" s="38"/>
      <c r="DO19" s="29" t="s">
        <v>259</v>
      </c>
      <c r="DP19" s="38">
        <f aca="true" t="shared" si="81" ref="DP19:DP22">DP18</f>
        <v>1450</v>
      </c>
      <c r="DQ19" s="38">
        <f aca="true" t="shared" si="82" ref="DQ19:DQ22">DQ18</f>
        <v>4</v>
      </c>
      <c r="DR19" s="39">
        <v>0.774</v>
      </c>
      <c r="DS19" s="30">
        <f t="shared" si="49"/>
        <v>4.489199999999999</v>
      </c>
      <c r="DU19" s="38"/>
      <c r="DV19" s="29" t="s">
        <v>259</v>
      </c>
      <c r="DW19" s="38">
        <f aca="true" t="shared" si="83" ref="DW19:DW22">DW18</f>
        <v>1450</v>
      </c>
      <c r="DX19" s="38">
        <f aca="true" t="shared" si="84" ref="DX19:DX22">DX18</f>
        <v>4</v>
      </c>
      <c r="DY19" s="39">
        <v>0.774</v>
      </c>
      <c r="DZ19" s="30">
        <f t="shared" si="50"/>
        <v>4.489199999999999</v>
      </c>
    </row>
    <row r="20" spans="2:130" ht="14.25">
      <c r="B20" s="38">
        <v>8</v>
      </c>
      <c r="C20" s="29" t="s">
        <v>260</v>
      </c>
      <c r="D20" s="38">
        <f>D17-60</f>
        <v>685</v>
      </c>
      <c r="E20" s="38">
        <f t="shared" si="52"/>
        <v>2</v>
      </c>
      <c r="F20" s="39">
        <v>0.744</v>
      </c>
      <c r="G20" s="30">
        <f t="shared" si="34"/>
        <v>1.01928</v>
      </c>
      <c r="I20" s="38">
        <v>8</v>
      </c>
      <c r="J20" s="29" t="s">
        <v>260</v>
      </c>
      <c r="K20" s="38">
        <f>K17-60</f>
        <v>685</v>
      </c>
      <c r="L20" s="38">
        <f t="shared" si="54"/>
        <v>2</v>
      </c>
      <c r="M20" s="39">
        <v>0.744</v>
      </c>
      <c r="N20" s="30">
        <f t="shared" si="35"/>
        <v>1.01928</v>
      </c>
      <c r="P20" s="38">
        <v>8</v>
      </c>
      <c r="Q20" s="29" t="s">
        <v>260</v>
      </c>
      <c r="R20" s="38">
        <f>R17-60</f>
        <v>685</v>
      </c>
      <c r="S20" s="38">
        <f t="shared" si="56"/>
        <v>2</v>
      </c>
      <c r="T20" s="39">
        <v>0.744</v>
      </c>
      <c r="U20" s="30">
        <f t="shared" si="36"/>
        <v>1.01928</v>
      </c>
      <c r="W20" s="38">
        <v>8</v>
      </c>
      <c r="X20" s="29" t="s">
        <v>260</v>
      </c>
      <c r="Y20" s="38">
        <f>Y17-60</f>
        <v>685</v>
      </c>
      <c r="Z20" s="38">
        <f t="shared" si="58"/>
        <v>2</v>
      </c>
      <c r="AA20" s="39">
        <v>0.744</v>
      </c>
      <c r="AB20" s="30">
        <f t="shared" si="37"/>
        <v>1.01928</v>
      </c>
      <c r="AD20" s="38">
        <v>8</v>
      </c>
      <c r="AE20" s="29" t="s">
        <v>260</v>
      </c>
      <c r="AF20" s="38">
        <f>AF17-60</f>
        <v>700</v>
      </c>
      <c r="AG20" s="38">
        <f t="shared" si="60"/>
        <v>2</v>
      </c>
      <c r="AH20" s="39">
        <v>0.744</v>
      </c>
      <c r="AI20" s="30">
        <f t="shared" si="38"/>
        <v>1.0415999999999999</v>
      </c>
      <c r="AK20" s="38">
        <v>8</v>
      </c>
      <c r="AL20" s="29" t="s">
        <v>260</v>
      </c>
      <c r="AM20" s="38">
        <f>AM17-60</f>
        <v>700</v>
      </c>
      <c r="AN20" s="38">
        <f t="shared" si="62"/>
        <v>2</v>
      </c>
      <c r="AO20" s="39">
        <v>0.744</v>
      </c>
      <c r="AP20" s="30">
        <f t="shared" si="39"/>
        <v>1.0415999999999999</v>
      </c>
      <c r="AW20" s="38">
        <v>8</v>
      </c>
      <c r="AX20" s="29" t="s">
        <v>260</v>
      </c>
      <c r="AY20" s="38">
        <f>AY17-60</f>
        <v>700</v>
      </c>
      <c r="AZ20" s="38">
        <f t="shared" si="64"/>
        <v>2</v>
      </c>
      <c r="BA20" s="39">
        <v>0.744</v>
      </c>
      <c r="BB20" s="30">
        <f t="shared" si="40"/>
        <v>1.0415999999999999</v>
      </c>
      <c r="BJ20" s="38">
        <v>8</v>
      </c>
      <c r="BK20" s="29" t="s">
        <v>260</v>
      </c>
      <c r="BL20" s="38">
        <f>BL17-60</f>
        <v>700</v>
      </c>
      <c r="BM20" s="38">
        <f t="shared" si="66"/>
        <v>2</v>
      </c>
      <c r="BN20" s="39">
        <v>0.744</v>
      </c>
      <c r="BO20" s="30">
        <f t="shared" si="41"/>
        <v>1.0415999999999999</v>
      </c>
      <c r="BQ20" s="38">
        <v>8</v>
      </c>
      <c r="BR20" s="29" t="s">
        <v>260</v>
      </c>
      <c r="BS20" s="38">
        <f>BS17-60</f>
        <v>700</v>
      </c>
      <c r="BT20" s="38">
        <f t="shared" si="68"/>
        <v>2</v>
      </c>
      <c r="BU20" s="39">
        <v>0.744</v>
      </c>
      <c r="BV20" s="30">
        <f t="shared" si="42"/>
        <v>1.0415999999999999</v>
      </c>
      <c r="BX20" s="38">
        <v>8</v>
      </c>
      <c r="BY20" s="29" t="s">
        <v>260</v>
      </c>
      <c r="BZ20" s="38">
        <f>BZ17-60</f>
        <v>700</v>
      </c>
      <c r="CA20" s="38">
        <f t="shared" si="70"/>
        <v>2</v>
      </c>
      <c r="CB20" s="39">
        <v>0.744</v>
      </c>
      <c r="CC20" s="30">
        <f t="shared" si="43"/>
        <v>1.0415999999999999</v>
      </c>
      <c r="CE20" s="38">
        <v>8</v>
      </c>
      <c r="CF20" s="29" t="s">
        <v>260</v>
      </c>
      <c r="CG20" s="38">
        <f>CG17-60</f>
        <v>700</v>
      </c>
      <c r="CH20" s="38">
        <f t="shared" si="72"/>
        <v>2</v>
      </c>
      <c r="CI20" s="39">
        <v>0.744</v>
      </c>
      <c r="CJ20" s="30">
        <f t="shared" si="44"/>
        <v>1.0415999999999999</v>
      </c>
      <c r="CL20" s="38">
        <v>8</v>
      </c>
      <c r="CM20" s="29" t="s">
        <v>260</v>
      </c>
      <c r="CN20" s="38">
        <f>CN17-60</f>
        <v>700</v>
      </c>
      <c r="CO20" s="38">
        <f t="shared" si="74"/>
        <v>2</v>
      </c>
      <c r="CP20" s="39">
        <v>0.744</v>
      </c>
      <c r="CQ20" s="30">
        <f t="shared" si="45"/>
        <v>1.0415999999999999</v>
      </c>
      <c r="CS20" s="38">
        <v>8</v>
      </c>
      <c r="CT20" s="29" t="s">
        <v>260</v>
      </c>
      <c r="CU20" s="38">
        <f>CU17-60</f>
        <v>700</v>
      </c>
      <c r="CV20" s="38">
        <f t="shared" si="76"/>
        <v>4</v>
      </c>
      <c r="CW20" s="39">
        <v>0.744</v>
      </c>
      <c r="CX20" s="30">
        <f t="shared" si="46"/>
        <v>2.0831999999999997</v>
      </c>
      <c r="CZ20" s="38">
        <v>8</v>
      </c>
      <c r="DA20" s="29" t="s">
        <v>260</v>
      </c>
      <c r="DB20" s="38">
        <f>DB17-60</f>
        <v>700</v>
      </c>
      <c r="DC20" s="38">
        <f t="shared" si="78"/>
        <v>4</v>
      </c>
      <c r="DD20" s="39">
        <v>0.744</v>
      </c>
      <c r="DE20" s="30">
        <f t="shared" si="47"/>
        <v>2.0831999999999997</v>
      </c>
      <c r="DG20" s="38">
        <v>8</v>
      </c>
      <c r="DH20" s="29" t="s">
        <v>260</v>
      </c>
      <c r="DI20" s="38">
        <f>DI17-60</f>
        <v>700</v>
      </c>
      <c r="DJ20" s="38">
        <f t="shared" si="80"/>
        <v>4</v>
      </c>
      <c r="DK20" s="39">
        <v>0.744</v>
      </c>
      <c r="DL20" s="30">
        <f t="shared" si="48"/>
        <v>2.0831999999999997</v>
      </c>
      <c r="DN20" s="38">
        <v>8</v>
      </c>
      <c r="DO20" s="29" t="s">
        <v>260</v>
      </c>
      <c r="DP20" s="38">
        <f>DP17-60</f>
        <v>700</v>
      </c>
      <c r="DQ20" s="38">
        <f t="shared" si="82"/>
        <v>4</v>
      </c>
      <c r="DR20" s="39">
        <v>0.744</v>
      </c>
      <c r="DS20" s="30">
        <f t="shared" si="49"/>
        <v>2.0831999999999997</v>
      </c>
      <c r="DU20" s="38">
        <v>8</v>
      </c>
      <c r="DV20" s="29" t="s">
        <v>260</v>
      </c>
      <c r="DW20" s="38">
        <f>DW17-60</f>
        <v>700</v>
      </c>
      <c r="DX20" s="38">
        <f t="shared" si="84"/>
        <v>4</v>
      </c>
      <c r="DY20" s="39">
        <v>0.744</v>
      </c>
      <c r="DZ20" s="30">
        <f t="shared" si="50"/>
        <v>2.0831999999999997</v>
      </c>
    </row>
    <row r="21" spans="2:130" ht="14.25">
      <c r="B21" s="38"/>
      <c r="C21" s="29" t="s">
        <v>261</v>
      </c>
      <c r="D21" s="38">
        <f t="shared" si="51"/>
        <v>685</v>
      </c>
      <c r="E21" s="38">
        <f>E20/2</f>
        <v>1</v>
      </c>
      <c r="F21" s="39">
        <v>0.729</v>
      </c>
      <c r="G21" s="30">
        <f t="shared" si="34"/>
        <v>0.499365</v>
      </c>
      <c r="I21" s="38"/>
      <c r="J21" s="29" t="s">
        <v>261</v>
      </c>
      <c r="K21" s="38">
        <f t="shared" si="53"/>
        <v>685</v>
      </c>
      <c r="L21" s="38">
        <f>L20/2</f>
        <v>1</v>
      </c>
      <c r="M21" s="39">
        <v>0.729</v>
      </c>
      <c r="N21" s="30">
        <f t="shared" si="35"/>
        <v>0.499365</v>
      </c>
      <c r="P21" s="38"/>
      <c r="Q21" s="29" t="s">
        <v>261</v>
      </c>
      <c r="R21" s="38">
        <f t="shared" si="55"/>
        <v>685</v>
      </c>
      <c r="S21" s="38">
        <f>S20/2</f>
        <v>1</v>
      </c>
      <c r="T21" s="39">
        <v>0.729</v>
      </c>
      <c r="U21" s="30">
        <f t="shared" si="36"/>
        <v>0.499365</v>
      </c>
      <c r="W21" s="38"/>
      <c r="X21" s="29" t="s">
        <v>261</v>
      </c>
      <c r="Y21" s="38">
        <f t="shared" si="57"/>
        <v>685</v>
      </c>
      <c r="Z21" s="38">
        <f>Z20/2</f>
        <v>1</v>
      </c>
      <c r="AA21" s="39">
        <v>0.729</v>
      </c>
      <c r="AB21" s="30">
        <f t="shared" si="37"/>
        <v>0.499365</v>
      </c>
      <c r="AD21" s="38"/>
      <c r="AE21" s="29" t="s">
        <v>261</v>
      </c>
      <c r="AF21" s="38">
        <f t="shared" si="59"/>
        <v>700</v>
      </c>
      <c r="AG21" s="38">
        <f>AG20/2</f>
        <v>1</v>
      </c>
      <c r="AH21" s="39">
        <v>0.729</v>
      </c>
      <c r="AI21" s="30">
        <f t="shared" si="38"/>
        <v>0.5103</v>
      </c>
      <c r="AK21" s="38"/>
      <c r="AL21" s="29" t="s">
        <v>261</v>
      </c>
      <c r="AM21" s="38">
        <f t="shared" si="61"/>
        <v>700</v>
      </c>
      <c r="AN21" s="38">
        <f>AN20/2</f>
        <v>1</v>
      </c>
      <c r="AO21" s="39">
        <v>0.729</v>
      </c>
      <c r="AP21" s="30">
        <f t="shared" si="39"/>
        <v>0.5103</v>
      </c>
      <c r="AW21" s="38"/>
      <c r="AX21" s="29" t="s">
        <v>261</v>
      </c>
      <c r="AY21" s="38">
        <f t="shared" si="63"/>
        <v>700</v>
      </c>
      <c r="AZ21" s="38">
        <f>AZ20/2</f>
        <v>1</v>
      </c>
      <c r="BA21" s="39">
        <v>0.729</v>
      </c>
      <c r="BB21" s="30">
        <f t="shared" si="40"/>
        <v>0.5103</v>
      </c>
      <c r="BJ21" s="38"/>
      <c r="BK21" s="29" t="s">
        <v>261</v>
      </c>
      <c r="BL21" s="38">
        <f t="shared" si="65"/>
        <v>700</v>
      </c>
      <c r="BM21" s="38">
        <f>BM20/2</f>
        <v>1</v>
      </c>
      <c r="BN21" s="39">
        <v>0.729</v>
      </c>
      <c r="BO21" s="30">
        <f t="shared" si="41"/>
        <v>0.5103</v>
      </c>
      <c r="BQ21" s="38"/>
      <c r="BR21" s="29" t="s">
        <v>261</v>
      </c>
      <c r="BS21" s="38">
        <f t="shared" si="67"/>
        <v>700</v>
      </c>
      <c r="BT21" s="38">
        <f>BT20/2</f>
        <v>1</v>
      </c>
      <c r="BU21" s="39">
        <v>0.729</v>
      </c>
      <c r="BV21" s="30">
        <f t="shared" si="42"/>
        <v>0.5103</v>
      </c>
      <c r="BX21" s="38"/>
      <c r="BY21" s="29" t="s">
        <v>261</v>
      </c>
      <c r="BZ21" s="38">
        <f t="shared" si="69"/>
        <v>700</v>
      </c>
      <c r="CA21" s="38">
        <f>CA20/2</f>
        <v>1</v>
      </c>
      <c r="CB21" s="39">
        <v>0.729</v>
      </c>
      <c r="CC21" s="30">
        <f t="shared" si="43"/>
        <v>0.5103</v>
      </c>
      <c r="CE21" s="38"/>
      <c r="CF21" s="29" t="s">
        <v>261</v>
      </c>
      <c r="CG21" s="38">
        <f t="shared" si="71"/>
        <v>700</v>
      </c>
      <c r="CH21" s="38">
        <f>CH20/2</f>
        <v>1</v>
      </c>
      <c r="CI21" s="39">
        <v>0.729</v>
      </c>
      <c r="CJ21" s="30">
        <f t="shared" si="44"/>
        <v>0.5103</v>
      </c>
      <c r="CL21" s="38"/>
      <c r="CM21" s="29" t="s">
        <v>261</v>
      </c>
      <c r="CN21" s="38">
        <f t="shared" si="73"/>
        <v>700</v>
      </c>
      <c r="CO21" s="38">
        <f>CO20/2</f>
        <v>1</v>
      </c>
      <c r="CP21" s="39">
        <v>0.729</v>
      </c>
      <c r="CQ21" s="30">
        <f t="shared" si="45"/>
        <v>0.5103</v>
      </c>
      <c r="CS21" s="38"/>
      <c r="CT21" s="29" t="s">
        <v>261</v>
      </c>
      <c r="CU21" s="38">
        <f t="shared" si="75"/>
        <v>700</v>
      </c>
      <c r="CV21" s="38">
        <f>CV20/2</f>
        <v>2</v>
      </c>
      <c r="CW21" s="39">
        <v>0.729</v>
      </c>
      <c r="CX21" s="30">
        <f t="shared" si="46"/>
        <v>1.0206</v>
      </c>
      <c r="CZ21" s="38"/>
      <c r="DA21" s="29" t="s">
        <v>261</v>
      </c>
      <c r="DB21" s="38">
        <f t="shared" si="77"/>
        <v>700</v>
      </c>
      <c r="DC21" s="38">
        <f>DC20/2</f>
        <v>2</v>
      </c>
      <c r="DD21" s="39">
        <v>0.729</v>
      </c>
      <c r="DE21" s="30">
        <f t="shared" si="47"/>
        <v>1.0206</v>
      </c>
      <c r="DG21" s="38"/>
      <c r="DH21" s="29" t="s">
        <v>261</v>
      </c>
      <c r="DI21" s="38">
        <f t="shared" si="79"/>
        <v>700</v>
      </c>
      <c r="DJ21" s="38">
        <f>DJ20/2</f>
        <v>2</v>
      </c>
      <c r="DK21" s="39">
        <v>0.729</v>
      </c>
      <c r="DL21" s="30">
        <f t="shared" si="48"/>
        <v>1.0206</v>
      </c>
      <c r="DN21" s="38"/>
      <c r="DO21" s="29" t="s">
        <v>261</v>
      </c>
      <c r="DP21" s="38">
        <f t="shared" si="81"/>
        <v>700</v>
      </c>
      <c r="DQ21" s="38">
        <f>DQ20/2</f>
        <v>2</v>
      </c>
      <c r="DR21" s="39">
        <v>0.729</v>
      </c>
      <c r="DS21" s="30">
        <f t="shared" si="49"/>
        <v>1.0206</v>
      </c>
      <c r="DU21" s="38"/>
      <c r="DV21" s="29" t="s">
        <v>261</v>
      </c>
      <c r="DW21" s="38">
        <f t="shared" si="83"/>
        <v>700</v>
      </c>
      <c r="DX21" s="38">
        <f>DX20/2</f>
        <v>2</v>
      </c>
      <c r="DY21" s="39">
        <v>0.729</v>
      </c>
      <c r="DZ21" s="30">
        <f t="shared" si="50"/>
        <v>1.0206</v>
      </c>
    </row>
    <row r="22" spans="2:130" ht="14.25">
      <c r="B22" s="38">
        <v>9</v>
      </c>
      <c r="C22" s="29" t="s">
        <v>262</v>
      </c>
      <c r="D22" s="38">
        <f t="shared" si="51"/>
        <v>685</v>
      </c>
      <c r="E22" s="38">
        <f t="shared" si="52"/>
        <v>1</v>
      </c>
      <c r="F22" s="39">
        <v>0.927</v>
      </c>
      <c r="G22" s="30">
        <f t="shared" si="34"/>
        <v>0.634995</v>
      </c>
      <c r="I22" s="38">
        <v>9</v>
      </c>
      <c r="J22" s="29" t="s">
        <v>262</v>
      </c>
      <c r="K22" s="38">
        <f t="shared" si="53"/>
        <v>685</v>
      </c>
      <c r="L22" s="38">
        <f t="shared" si="54"/>
        <v>1</v>
      </c>
      <c r="M22" s="39">
        <v>0.927</v>
      </c>
      <c r="N22" s="30">
        <f t="shared" si="35"/>
        <v>0.634995</v>
      </c>
      <c r="P22" s="38">
        <v>9</v>
      </c>
      <c r="Q22" s="29" t="s">
        <v>262</v>
      </c>
      <c r="R22" s="38">
        <f t="shared" si="55"/>
        <v>685</v>
      </c>
      <c r="S22" s="38">
        <f t="shared" si="56"/>
        <v>1</v>
      </c>
      <c r="T22" s="39">
        <v>0.927</v>
      </c>
      <c r="U22" s="30">
        <f t="shared" si="36"/>
        <v>0.634995</v>
      </c>
      <c r="W22" s="38">
        <v>9</v>
      </c>
      <c r="X22" s="29" t="s">
        <v>262</v>
      </c>
      <c r="Y22" s="38">
        <f t="shared" si="57"/>
        <v>685</v>
      </c>
      <c r="Z22" s="38">
        <f t="shared" si="58"/>
        <v>1</v>
      </c>
      <c r="AA22" s="39">
        <v>0.927</v>
      </c>
      <c r="AB22" s="30">
        <f t="shared" si="37"/>
        <v>0.634995</v>
      </c>
      <c r="AD22" s="38">
        <v>9</v>
      </c>
      <c r="AE22" s="29" t="s">
        <v>262</v>
      </c>
      <c r="AF22" s="38">
        <f t="shared" si="59"/>
        <v>700</v>
      </c>
      <c r="AG22" s="38">
        <f t="shared" si="60"/>
        <v>1</v>
      </c>
      <c r="AH22" s="39">
        <v>0.927</v>
      </c>
      <c r="AI22" s="30">
        <f t="shared" si="38"/>
        <v>0.6489</v>
      </c>
      <c r="AK22" s="38">
        <v>9</v>
      </c>
      <c r="AL22" s="29" t="s">
        <v>262</v>
      </c>
      <c r="AM22" s="38">
        <f t="shared" si="61"/>
        <v>700</v>
      </c>
      <c r="AN22" s="38">
        <f t="shared" si="62"/>
        <v>1</v>
      </c>
      <c r="AO22" s="39">
        <v>0.927</v>
      </c>
      <c r="AP22" s="30">
        <f t="shared" si="39"/>
        <v>0.6489</v>
      </c>
      <c r="AW22" s="38">
        <v>9</v>
      </c>
      <c r="AX22" s="29" t="s">
        <v>262</v>
      </c>
      <c r="AY22" s="38">
        <f t="shared" si="63"/>
        <v>700</v>
      </c>
      <c r="AZ22" s="38">
        <f t="shared" si="64"/>
        <v>1</v>
      </c>
      <c r="BA22" s="39">
        <v>0.927</v>
      </c>
      <c r="BB22" s="30">
        <f t="shared" si="40"/>
        <v>0.6489</v>
      </c>
      <c r="BJ22" s="38">
        <v>9</v>
      </c>
      <c r="BK22" s="29" t="s">
        <v>262</v>
      </c>
      <c r="BL22" s="38">
        <f t="shared" si="65"/>
        <v>700</v>
      </c>
      <c r="BM22" s="38">
        <f t="shared" si="66"/>
        <v>1</v>
      </c>
      <c r="BN22" s="39">
        <v>0.927</v>
      </c>
      <c r="BO22" s="30">
        <f t="shared" si="41"/>
        <v>0.6489</v>
      </c>
      <c r="BQ22" s="38">
        <v>9</v>
      </c>
      <c r="BR22" s="29" t="s">
        <v>262</v>
      </c>
      <c r="BS22" s="38">
        <f t="shared" si="67"/>
        <v>700</v>
      </c>
      <c r="BT22" s="38">
        <f t="shared" si="68"/>
        <v>1</v>
      </c>
      <c r="BU22" s="39">
        <v>0.927</v>
      </c>
      <c r="BV22" s="30">
        <f t="shared" si="42"/>
        <v>0.6489</v>
      </c>
      <c r="BX22" s="38">
        <v>9</v>
      </c>
      <c r="BY22" s="29" t="s">
        <v>262</v>
      </c>
      <c r="BZ22" s="38">
        <f t="shared" si="69"/>
        <v>700</v>
      </c>
      <c r="CA22" s="38">
        <f t="shared" si="70"/>
        <v>1</v>
      </c>
      <c r="CB22" s="39">
        <v>0.927</v>
      </c>
      <c r="CC22" s="30">
        <f t="shared" si="43"/>
        <v>0.6489</v>
      </c>
      <c r="CE22" s="38">
        <v>9</v>
      </c>
      <c r="CF22" s="29" t="s">
        <v>262</v>
      </c>
      <c r="CG22" s="38">
        <f t="shared" si="71"/>
        <v>700</v>
      </c>
      <c r="CH22" s="38">
        <f t="shared" si="72"/>
        <v>1</v>
      </c>
      <c r="CI22" s="39">
        <v>0.927</v>
      </c>
      <c r="CJ22" s="30">
        <f t="shared" si="44"/>
        <v>0.6489</v>
      </c>
      <c r="CL22" s="38">
        <v>9</v>
      </c>
      <c r="CM22" s="29" t="s">
        <v>262</v>
      </c>
      <c r="CN22" s="38">
        <f t="shared" si="73"/>
        <v>700</v>
      </c>
      <c r="CO22" s="38">
        <f t="shared" si="74"/>
        <v>1</v>
      </c>
      <c r="CP22" s="39">
        <v>0.927</v>
      </c>
      <c r="CQ22" s="30">
        <f t="shared" si="45"/>
        <v>0.6489</v>
      </c>
      <c r="CS22" s="38">
        <v>9</v>
      </c>
      <c r="CT22" s="29" t="s">
        <v>262</v>
      </c>
      <c r="CU22" s="38">
        <f t="shared" si="75"/>
        <v>700</v>
      </c>
      <c r="CV22" s="38">
        <f t="shared" si="76"/>
        <v>2</v>
      </c>
      <c r="CW22" s="39">
        <v>0.927</v>
      </c>
      <c r="CX22" s="30">
        <f t="shared" si="46"/>
        <v>1.2978</v>
      </c>
      <c r="CZ22" s="38">
        <v>9</v>
      </c>
      <c r="DA22" s="29" t="s">
        <v>262</v>
      </c>
      <c r="DB22" s="38">
        <f t="shared" si="77"/>
        <v>700</v>
      </c>
      <c r="DC22" s="38">
        <f t="shared" si="78"/>
        <v>2</v>
      </c>
      <c r="DD22" s="39">
        <v>0.927</v>
      </c>
      <c r="DE22" s="30">
        <f t="shared" si="47"/>
        <v>1.2978</v>
      </c>
      <c r="DG22" s="38">
        <v>9</v>
      </c>
      <c r="DH22" s="29" t="s">
        <v>262</v>
      </c>
      <c r="DI22" s="38">
        <f t="shared" si="79"/>
        <v>700</v>
      </c>
      <c r="DJ22" s="38">
        <f t="shared" si="80"/>
        <v>2</v>
      </c>
      <c r="DK22" s="39">
        <v>0.927</v>
      </c>
      <c r="DL22" s="30">
        <f t="shared" si="48"/>
        <v>1.2978</v>
      </c>
      <c r="DN22" s="38">
        <v>9</v>
      </c>
      <c r="DO22" s="29" t="s">
        <v>262</v>
      </c>
      <c r="DP22" s="38">
        <f t="shared" si="81"/>
        <v>700</v>
      </c>
      <c r="DQ22" s="38">
        <f t="shared" si="82"/>
        <v>2</v>
      </c>
      <c r="DR22" s="39">
        <v>0.927</v>
      </c>
      <c r="DS22" s="30">
        <f t="shared" si="49"/>
        <v>1.2978</v>
      </c>
      <c r="DU22" s="38">
        <v>9</v>
      </c>
      <c r="DV22" s="29" t="s">
        <v>262</v>
      </c>
      <c r="DW22" s="38">
        <f t="shared" si="83"/>
        <v>700</v>
      </c>
      <c r="DX22" s="38">
        <f t="shared" si="84"/>
        <v>2</v>
      </c>
      <c r="DY22" s="39">
        <v>0.927</v>
      </c>
      <c r="DZ22" s="30">
        <f t="shared" si="50"/>
        <v>1.2978</v>
      </c>
    </row>
    <row r="23" spans="2:130" ht="14.25">
      <c r="B23" s="38"/>
      <c r="C23" s="29" t="s">
        <v>263</v>
      </c>
      <c r="D23" s="38">
        <f>(C4-30*2-25)/2</f>
        <v>692.5</v>
      </c>
      <c r="E23" s="38">
        <v>4</v>
      </c>
      <c r="F23" s="39">
        <v>0.183</v>
      </c>
      <c r="G23" s="30">
        <f t="shared" si="34"/>
        <v>0.50691</v>
      </c>
      <c r="I23" s="38"/>
      <c r="J23" s="29" t="s">
        <v>263</v>
      </c>
      <c r="K23" s="38">
        <f>(J4-30*2-25)/2</f>
        <v>692.5</v>
      </c>
      <c r="L23" s="38">
        <v>4</v>
      </c>
      <c r="M23" s="39">
        <v>0.183</v>
      </c>
      <c r="N23" s="30">
        <f t="shared" si="35"/>
        <v>0.50691</v>
      </c>
      <c r="P23" s="38"/>
      <c r="Q23" s="29" t="s">
        <v>263</v>
      </c>
      <c r="R23" s="38">
        <f>(Q4-30*2-25)/2</f>
        <v>692.5</v>
      </c>
      <c r="S23" s="38">
        <v>4</v>
      </c>
      <c r="T23" s="39">
        <v>0.183</v>
      </c>
      <c r="U23" s="30">
        <f t="shared" si="36"/>
        <v>0.50691</v>
      </c>
      <c r="W23" s="38"/>
      <c r="X23" s="29" t="s">
        <v>263</v>
      </c>
      <c r="Y23" s="38">
        <f>(X4-30*2-25)/2</f>
        <v>692.5</v>
      </c>
      <c r="Z23" s="38">
        <v>4</v>
      </c>
      <c r="AA23" s="39">
        <v>0.183</v>
      </c>
      <c r="AB23" s="30">
        <f t="shared" si="37"/>
        <v>0.50691</v>
      </c>
      <c r="AD23" s="38"/>
      <c r="AE23" s="29" t="s">
        <v>263</v>
      </c>
      <c r="AF23" s="38">
        <v>1200</v>
      </c>
      <c r="AG23" s="38">
        <v>4</v>
      </c>
      <c r="AH23" s="39">
        <v>0.183</v>
      </c>
      <c r="AI23" s="30">
        <f t="shared" si="38"/>
        <v>0.8784</v>
      </c>
      <c r="AK23" s="38"/>
      <c r="AL23" s="29" t="s">
        <v>263</v>
      </c>
      <c r="AM23" s="38">
        <v>1200</v>
      </c>
      <c r="AN23" s="38">
        <v>2</v>
      </c>
      <c r="AO23" s="39">
        <v>0.183</v>
      </c>
      <c r="AP23" s="30">
        <f t="shared" si="39"/>
        <v>0.4392</v>
      </c>
      <c r="AW23" s="38"/>
      <c r="AX23" s="29" t="s">
        <v>263</v>
      </c>
      <c r="AY23" s="38">
        <v>1200</v>
      </c>
      <c r="AZ23" s="38">
        <v>2</v>
      </c>
      <c r="BA23" s="39">
        <v>0.183</v>
      </c>
      <c r="BB23" s="30">
        <f t="shared" si="40"/>
        <v>0.4392</v>
      </c>
      <c r="BJ23" s="38"/>
      <c r="BK23" s="29" t="s">
        <v>263</v>
      </c>
      <c r="BL23" s="38">
        <f>1500*2+1200*4</f>
        <v>7800</v>
      </c>
      <c r="BM23" s="38">
        <v>1</v>
      </c>
      <c r="BN23" s="39">
        <v>0.183</v>
      </c>
      <c r="BO23" s="30">
        <f t="shared" si="41"/>
        <v>1.4273999999999998</v>
      </c>
      <c r="BQ23" s="38"/>
      <c r="BR23" s="29" t="s">
        <v>263</v>
      </c>
      <c r="BS23" s="38">
        <f>1500*2+1200*4</f>
        <v>7800</v>
      </c>
      <c r="BT23" s="38">
        <v>1</v>
      </c>
      <c r="BU23" s="39">
        <v>0.183</v>
      </c>
      <c r="BV23" s="30">
        <f t="shared" si="42"/>
        <v>1.4273999999999998</v>
      </c>
      <c r="BX23" s="38"/>
      <c r="BY23" s="29" t="s">
        <v>263</v>
      </c>
      <c r="BZ23" s="38">
        <v>1200</v>
      </c>
      <c r="CA23" s="38">
        <v>2</v>
      </c>
      <c r="CB23" s="39">
        <v>0.183</v>
      </c>
      <c r="CC23" s="30">
        <f t="shared" si="43"/>
        <v>0.4392</v>
      </c>
      <c r="CE23" s="38"/>
      <c r="CF23" s="29" t="s">
        <v>263</v>
      </c>
      <c r="CG23" s="38">
        <f>1500*2+1200*4</f>
        <v>7800</v>
      </c>
      <c r="CH23" s="38">
        <v>1</v>
      </c>
      <c r="CI23" s="39">
        <v>0.183</v>
      </c>
      <c r="CJ23" s="30">
        <f t="shared" si="44"/>
        <v>1.4273999999999998</v>
      </c>
      <c r="CL23" s="38"/>
      <c r="CM23" s="29" t="s">
        <v>263</v>
      </c>
      <c r="CN23" s="38">
        <f>1500*2+1200*4</f>
        <v>7800</v>
      </c>
      <c r="CO23" s="38">
        <v>1</v>
      </c>
      <c r="CP23" s="39">
        <v>0.183</v>
      </c>
      <c r="CQ23" s="30">
        <f t="shared" si="45"/>
        <v>1.4273999999999998</v>
      </c>
      <c r="CS23" s="38"/>
      <c r="CT23" s="29" t="s">
        <v>263</v>
      </c>
      <c r="CU23" s="38">
        <f>2080*4+1200*4</f>
        <v>13120</v>
      </c>
      <c r="CV23" s="38">
        <v>1</v>
      </c>
      <c r="CW23" s="39">
        <v>0.183</v>
      </c>
      <c r="CX23" s="30">
        <f t="shared" si="46"/>
        <v>2.40096</v>
      </c>
      <c r="CZ23" s="38"/>
      <c r="DA23" s="29" t="s">
        <v>263</v>
      </c>
      <c r="DB23" s="38">
        <f>2080*4+1200*4</f>
        <v>13120</v>
      </c>
      <c r="DC23" s="38">
        <v>1</v>
      </c>
      <c r="DD23" s="39">
        <v>0.183</v>
      </c>
      <c r="DE23" s="30">
        <f t="shared" si="47"/>
        <v>2.40096</v>
      </c>
      <c r="DG23" s="38"/>
      <c r="DH23" s="29" t="s">
        <v>263</v>
      </c>
      <c r="DI23" s="38">
        <f>1200*2</f>
        <v>2400</v>
      </c>
      <c r="DJ23" s="38">
        <v>1</v>
      </c>
      <c r="DK23" s="39">
        <v>0.183</v>
      </c>
      <c r="DL23" s="30">
        <f t="shared" si="48"/>
        <v>0.4392</v>
      </c>
      <c r="DN23" s="38"/>
      <c r="DO23" s="29" t="s">
        <v>263</v>
      </c>
      <c r="DP23" s="38">
        <f>2080*4+1200*4</f>
        <v>13120</v>
      </c>
      <c r="DQ23" s="38">
        <v>1</v>
      </c>
      <c r="DR23" s="39">
        <v>0.183</v>
      </c>
      <c r="DS23" s="30">
        <f t="shared" si="49"/>
        <v>2.40096</v>
      </c>
      <c r="DU23" s="38"/>
      <c r="DV23" s="29" t="s">
        <v>263</v>
      </c>
      <c r="DW23" s="38">
        <f>2080*4+1200*4</f>
        <v>13120</v>
      </c>
      <c r="DX23" s="38">
        <v>1</v>
      </c>
      <c r="DY23" s="39">
        <v>0.183</v>
      </c>
      <c r="DZ23" s="30">
        <f t="shared" si="50"/>
        <v>2.40096</v>
      </c>
    </row>
    <row r="24" spans="2:130" ht="14.25">
      <c r="B24" s="38"/>
      <c r="C24" s="29"/>
      <c r="D24" s="38">
        <f>C5-25</f>
        <v>445</v>
      </c>
      <c r="E24" s="38">
        <f>E23</f>
        <v>4</v>
      </c>
      <c r="F24" s="39">
        <v>0.183</v>
      </c>
      <c r="G24" s="30">
        <f t="shared" si="34"/>
        <v>0.32574000000000003</v>
      </c>
      <c r="I24" s="38"/>
      <c r="J24" s="29"/>
      <c r="K24" s="38">
        <f>J5-25</f>
        <v>545</v>
      </c>
      <c r="L24" s="38">
        <f>L23</f>
        <v>4</v>
      </c>
      <c r="M24" s="39">
        <v>0.183</v>
      </c>
      <c r="N24" s="30">
        <f t="shared" si="35"/>
        <v>0.39894</v>
      </c>
      <c r="P24" s="38"/>
      <c r="Q24" s="29"/>
      <c r="R24" s="38">
        <f>Q5-25</f>
        <v>1145</v>
      </c>
      <c r="S24" s="38">
        <f>S23</f>
        <v>4</v>
      </c>
      <c r="T24" s="39">
        <v>0.183</v>
      </c>
      <c r="U24" s="30">
        <f t="shared" si="36"/>
        <v>0.83814</v>
      </c>
      <c r="W24" s="38"/>
      <c r="X24" s="29"/>
      <c r="Y24" s="38">
        <f>X5-25</f>
        <v>1445</v>
      </c>
      <c r="Z24" s="38">
        <f>Z23</f>
        <v>4</v>
      </c>
      <c r="AA24" s="39">
        <v>0.183</v>
      </c>
      <c r="AB24" s="30">
        <f t="shared" si="37"/>
        <v>1.05774</v>
      </c>
      <c r="AD24" s="38"/>
      <c r="AE24" s="29"/>
      <c r="AF24" s="38">
        <v>1300</v>
      </c>
      <c r="AG24" s="38">
        <v>2</v>
      </c>
      <c r="AH24" s="39">
        <v>0.183</v>
      </c>
      <c r="AI24" s="30">
        <f t="shared" si="38"/>
        <v>0.4758</v>
      </c>
      <c r="AK24" s="38"/>
      <c r="AL24" s="29"/>
      <c r="AM24" s="38">
        <v>1300</v>
      </c>
      <c r="AN24" s="38">
        <f>AN23</f>
        <v>2</v>
      </c>
      <c r="AO24" s="39">
        <v>0.183</v>
      </c>
      <c r="AP24" s="30">
        <f t="shared" si="39"/>
        <v>0.4758</v>
      </c>
      <c r="AW24" s="38"/>
      <c r="AX24" s="29"/>
      <c r="AY24" s="38">
        <v>1500</v>
      </c>
      <c r="AZ24" s="38">
        <f>AZ23</f>
        <v>2</v>
      </c>
      <c r="BA24" s="39">
        <v>0.183</v>
      </c>
      <c r="BB24" s="30">
        <f t="shared" si="40"/>
        <v>0.549</v>
      </c>
      <c r="BJ24" s="38"/>
      <c r="BK24" s="29"/>
      <c r="BL24" s="38">
        <f>600*4+1500*2</f>
        <v>5400</v>
      </c>
      <c r="BM24" s="38">
        <f>BM23</f>
        <v>1</v>
      </c>
      <c r="BN24" s="39">
        <v>0.183</v>
      </c>
      <c r="BO24" s="30">
        <f t="shared" si="41"/>
        <v>0.9882</v>
      </c>
      <c r="BQ24" s="38"/>
      <c r="BR24" s="29"/>
      <c r="BS24" s="38">
        <f>1100*4+1500*2</f>
        <v>7400</v>
      </c>
      <c r="BT24" s="38">
        <f>BT23</f>
        <v>1</v>
      </c>
      <c r="BU24" s="39">
        <v>0.183</v>
      </c>
      <c r="BV24" s="30">
        <f t="shared" si="42"/>
        <v>1.3542</v>
      </c>
      <c r="BX24" s="38"/>
      <c r="BY24" s="29"/>
      <c r="BZ24" s="38">
        <v>1500</v>
      </c>
      <c r="CA24" s="38">
        <f>CA23</f>
        <v>2</v>
      </c>
      <c r="CB24" s="39">
        <v>0.183</v>
      </c>
      <c r="CC24" s="30">
        <f t="shared" si="43"/>
        <v>0.549</v>
      </c>
      <c r="CE24" s="38"/>
      <c r="CF24" s="29"/>
      <c r="CG24" s="38">
        <f>1190*4+1500*2</f>
        <v>7760</v>
      </c>
      <c r="CH24" s="38">
        <f>CH23</f>
        <v>1</v>
      </c>
      <c r="CI24" s="39">
        <v>0.183</v>
      </c>
      <c r="CJ24" s="30">
        <f t="shared" si="44"/>
        <v>1.42008</v>
      </c>
      <c r="CL24" s="38"/>
      <c r="CM24" s="29"/>
      <c r="CN24" s="38">
        <f>1490*4+1500*2</f>
        <v>8960</v>
      </c>
      <c r="CO24" s="38">
        <f>CO23</f>
        <v>1</v>
      </c>
      <c r="CP24" s="39">
        <v>0.183</v>
      </c>
      <c r="CQ24" s="30">
        <f t="shared" si="45"/>
        <v>1.63968</v>
      </c>
      <c r="CS24" s="38"/>
      <c r="CT24" s="29"/>
      <c r="CU24" s="38">
        <f>1770*2</f>
        <v>3540</v>
      </c>
      <c r="CV24" s="38">
        <f>CV23</f>
        <v>1</v>
      </c>
      <c r="CW24" s="39">
        <v>0.183</v>
      </c>
      <c r="CX24" s="30">
        <f t="shared" si="46"/>
        <v>0.64782</v>
      </c>
      <c r="CZ24" s="38"/>
      <c r="DA24" s="29"/>
      <c r="DB24" s="38">
        <f>1770*2</f>
        <v>3540</v>
      </c>
      <c r="DC24" s="38">
        <f>DC23</f>
        <v>1</v>
      </c>
      <c r="DD24" s="39">
        <v>0.183</v>
      </c>
      <c r="DE24" s="30">
        <f t="shared" si="47"/>
        <v>0.64782</v>
      </c>
      <c r="DG24" s="38"/>
      <c r="DH24" s="29"/>
      <c r="DI24" s="38">
        <f>1300*2</f>
        <v>2600</v>
      </c>
      <c r="DJ24" s="38">
        <f>DJ23</f>
        <v>1</v>
      </c>
      <c r="DK24" s="39">
        <v>0.183</v>
      </c>
      <c r="DL24" s="30">
        <f t="shared" si="48"/>
        <v>0.4758</v>
      </c>
      <c r="DN24" s="38"/>
      <c r="DO24" s="29"/>
      <c r="DP24" s="38">
        <f>1770*2+570*4</f>
        <v>5820</v>
      </c>
      <c r="DQ24" s="38">
        <f>DQ23</f>
        <v>1</v>
      </c>
      <c r="DR24" s="39">
        <v>0.183</v>
      </c>
      <c r="DS24" s="30">
        <f t="shared" si="49"/>
        <v>1.06506</v>
      </c>
      <c r="DU24" s="38"/>
      <c r="DV24" s="29"/>
      <c r="DW24" s="38">
        <f>1770*2+1070*4</f>
        <v>7820</v>
      </c>
      <c r="DX24" s="38">
        <f>DX23</f>
        <v>1</v>
      </c>
      <c r="DY24" s="39">
        <v>0.183</v>
      </c>
      <c r="DZ24" s="30">
        <f t="shared" si="50"/>
        <v>1.43106</v>
      </c>
    </row>
    <row r="25" spans="2:130" ht="14.25">
      <c r="B25" s="38"/>
      <c r="C25" s="29"/>
      <c r="D25" s="38"/>
      <c r="E25" s="38"/>
      <c r="F25" s="38"/>
      <c r="G25" s="30"/>
      <c r="I25" s="38"/>
      <c r="J25" s="29"/>
      <c r="K25" s="38"/>
      <c r="L25" s="38"/>
      <c r="M25" s="38"/>
      <c r="N25" s="30"/>
      <c r="P25" s="38"/>
      <c r="Q25" s="29"/>
      <c r="R25" s="38"/>
      <c r="S25" s="38"/>
      <c r="T25" s="38"/>
      <c r="U25" s="30"/>
      <c r="W25" s="38"/>
      <c r="X25" s="29"/>
      <c r="Y25" s="38"/>
      <c r="Z25" s="38"/>
      <c r="AA25" s="38"/>
      <c r="AB25" s="30"/>
      <c r="AD25" s="38"/>
      <c r="AE25" s="43"/>
      <c r="AF25" s="44">
        <v>1500</v>
      </c>
      <c r="AG25" s="49">
        <v>2</v>
      </c>
      <c r="AH25" s="44">
        <v>0.183</v>
      </c>
      <c r="AI25" s="50">
        <f t="shared" si="38"/>
        <v>0.549</v>
      </c>
      <c r="AK25" s="38"/>
      <c r="AL25" s="51" t="s">
        <v>264</v>
      </c>
      <c r="AM25" s="52">
        <v>500</v>
      </c>
      <c r="AN25" s="53">
        <v>4</v>
      </c>
      <c r="AO25" s="52">
        <v>0.287</v>
      </c>
      <c r="AP25" s="54">
        <f t="shared" si="39"/>
        <v>0.574</v>
      </c>
      <c r="AW25" s="38"/>
      <c r="AX25" s="51" t="s">
        <v>264</v>
      </c>
      <c r="AY25" s="52">
        <v>500</v>
      </c>
      <c r="AZ25" s="53">
        <v>4</v>
      </c>
      <c r="BA25" s="52">
        <v>0.287</v>
      </c>
      <c r="BB25" s="54">
        <f t="shared" si="40"/>
        <v>0.574</v>
      </c>
      <c r="BJ25" s="38"/>
      <c r="BK25" s="51" t="s">
        <v>264</v>
      </c>
      <c r="BL25" s="52"/>
      <c r="BM25" s="53"/>
      <c r="BN25" s="52">
        <v>0.287</v>
      </c>
      <c r="BO25" s="54">
        <f t="shared" si="41"/>
        <v>0</v>
      </c>
      <c r="BQ25" s="38"/>
      <c r="BR25" s="51" t="s">
        <v>264</v>
      </c>
      <c r="BS25" s="52"/>
      <c r="BT25" s="53"/>
      <c r="BU25" s="52">
        <v>0.287</v>
      </c>
      <c r="BV25" s="54">
        <f t="shared" si="42"/>
        <v>0</v>
      </c>
      <c r="BX25" s="38"/>
      <c r="BY25" s="51" t="s">
        <v>264</v>
      </c>
      <c r="BZ25" s="52">
        <v>500</v>
      </c>
      <c r="CA25" s="53">
        <v>4</v>
      </c>
      <c r="CB25" s="52">
        <v>0.287</v>
      </c>
      <c r="CC25" s="54">
        <f t="shared" si="43"/>
        <v>0.574</v>
      </c>
      <c r="CE25" s="38"/>
      <c r="CF25" s="51" t="s">
        <v>264</v>
      </c>
      <c r="CG25" s="52"/>
      <c r="CH25" s="53"/>
      <c r="CI25" s="52">
        <v>0.287</v>
      </c>
      <c r="CJ25" s="54">
        <f t="shared" si="44"/>
        <v>0</v>
      </c>
      <c r="CL25" s="38"/>
      <c r="CM25" s="51" t="s">
        <v>264</v>
      </c>
      <c r="CN25" s="52"/>
      <c r="CO25" s="53"/>
      <c r="CP25" s="52">
        <v>0.287</v>
      </c>
      <c r="CQ25" s="54">
        <f t="shared" si="45"/>
        <v>0</v>
      </c>
      <c r="CS25" s="38"/>
      <c r="CT25" s="51" t="s">
        <v>264</v>
      </c>
      <c r="CU25" s="52"/>
      <c r="CV25" s="53"/>
      <c r="CW25" s="52">
        <v>0.287</v>
      </c>
      <c r="CX25" s="54">
        <f t="shared" si="46"/>
        <v>0</v>
      </c>
      <c r="CZ25" s="38"/>
      <c r="DA25" s="51" t="s">
        <v>264</v>
      </c>
      <c r="DB25" s="52"/>
      <c r="DC25" s="53"/>
      <c r="DD25" s="52">
        <v>0.287</v>
      </c>
      <c r="DE25" s="54">
        <f t="shared" si="47"/>
        <v>0</v>
      </c>
      <c r="DG25" s="38"/>
      <c r="DH25" s="51" t="s">
        <v>264</v>
      </c>
      <c r="DI25" s="52">
        <f>470*6</f>
        <v>2820</v>
      </c>
      <c r="DJ25" s="53">
        <v>1</v>
      </c>
      <c r="DK25" s="52">
        <v>0.287</v>
      </c>
      <c r="DL25" s="54">
        <f t="shared" si="48"/>
        <v>0.80934</v>
      </c>
      <c r="DN25" s="38"/>
      <c r="DO25" s="51" t="s">
        <v>264</v>
      </c>
      <c r="DP25" s="52"/>
      <c r="DQ25" s="53"/>
      <c r="DR25" s="52">
        <v>0.287</v>
      </c>
      <c r="DS25" s="54">
        <f t="shared" si="49"/>
        <v>0</v>
      </c>
      <c r="DU25" s="38"/>
      <c r="DV25" s="51" t="s">
        <v>264</v>
      </c>
      <c r="DW25" s="52"/>
      <c r="DX25" s="53"/>
      <c r="DY25" s="52">
        <v>0.287</v>
      </c>
      <c r="DZ25" s="54">
        <f t="shared" si="50"/>
        <v>0</v>
      </c>
    </row>
    <row r="26" spans="2:130" ht="14.25">
      <c r="B26" s="38"/>
      <c r="C26" s="29"/>
      <c r="D26" s="38"/>
      <c r="E26" s="38"/>
      <c r="F26" s="38"/>
      <c r="G26" s="30"/>
      <c r="I26" s="38"/>
      <c r="J26" s="29"/>
      <c r="K26" s="38"/>
      <c r="L26" s="38"/>
      <c r="M26" s="38"/>
      <c r="N26" s="30"/>
      <c r="P26" s="38"/>
      <c r="Q26" s="29"/>
      <c r="R26" s="38"/>
      <c r="S26" s="38"/>
      <c r="T26" s="38"/>
      <c r="U26" s="30"/>
      <c r="W26" s="38"/>
      <c r="X26" s="29"/>
      <c r="Y26" s="38"/>
      <c r="Z26" s="38"/>
      <c r="AA26" s="38"/>
      <c r="AB26" s="30"/>
      <c r="AD26" s="38"/>
      <c r="AE26" s="43"/>
      <c r="AF26" s="44">
        <v>500</v>
      </c>
      <c r="AG26" s="49">
        <v>4</v>
      </c>
      <c r="AH26" s="44">
        <v>0.183</v>
      </c>
      <c r="AI26" s="50">
        <f t="shared" si="38"/>
        <v>0.366</v>
      </c>
      <c r="AK26" s="38"/>
      <c r="AL26" s="51" t="s">
        <v>265</v>
      </c>
      <c r="AM26" s="52">
        <v>1470</v>
      </c>
      <c r="AN26" s="53">
        <f>AM25/60+1</f>
        <v>9.333333333333334</v>
      </c>
      <c r="AO26" s="52">
        <v>0.482</v>
      </c>
      <c r="AP26" s="54">
        <f t="shared" si="39"/>
        <v>6.61304</v>
      </c>
      <c r="AW26" s="38"/>
      <c r="AX26" s="51" t="s">
        <v>265</v>
      </c>
      <c r="AY26" s="52">
        <v>1470</v>
      </c>
      <c r="AZ26" s="53">
        <f>AY25/60+1</f>
        <v>9.333333333333334</v>
      </c>
      <c r="BA26" s="52">
        <v>0.482</v>
      </c>
      <c r="BB26" s="54">
        <f t="shared" si="40"/>
        <v>6.61304</v>
      </c>
      <c r="BJ26" s="38"/>
      <c r="BK26" s="51" t="s">
        <v>265</v>
      </c>
      <c r="BL26" s="52"/>
      <c r="BM26" s="53"/>
      <c r="BN26" s="52">
        <v>0.482</v>
      </c>
      <c r="BO26" s="54">
        <f t="shared" si="41"/>
        <v>0</v>
      </c>
      <c r="BQ26" s="38"/>
      <c r="BR26" s="51" t="s">
        <v>265</v>
      </c>
      <c r="BS26" s="52"/>
      <c r="BT26" s="53"/>
      <c r="BU26" s="52">
        <v>0.482</v>
      </c>
      <c r="BV26" s="54">
        <f t="shared" si="42"/>
        <v>0</v>
      </c>
      <c r="BX26" s="38"/>
      <c r="BY26" s="51" t="s">
        <v>265</v>
      </c>
      <c r="BZ26" s="52">
        <v>1470</v>
      </c>
      <c r="CA26" s="53">
        <f>BZ25/60+1</f>
        <v>9.333333333333334</v>
      </c>
      <c r="CB26" s="52">
        <v>0.482</v>
      </c>
      <c r="CC26" s="54">
        <f t="shared" si="43"/>
        <v>6.61304</v>
      </c>
      <c r="CE26" s="38"/>
      <c r="CF26" s="51" t="s">
        <v>265</v>
      </c>
      <c r="CG26" s="52"/>
      <c r="CH26" s="53"/>
      <c r="CI26" s="52">
        <v>0.482</v>
      </c>
      <c r="CJ26" s="54">
        <f t="shared" si="44"/>
        <v>0</v>
      </c>
      <c r="CL26" s="38"/>
      <c r="CM26" s="51" t="s">
        <v>265</v>
      </c>
      <c r="CN26" s="52"/>
      <c r="CO26" s="53"/>
      <c r="CP26" s="52">
        <v>0.482</v>
      </c>
      <c r="CQ26" s="54">
        <f t="shared" si="45"/>
        <v>0</v>
      </c>
      <c r="CS26" s="38"/>
      <c r="CT26" s="51" t="s">
        <v>265</v>
      </c>
      <c r="CU26" s="52"/>
      <c r="CV26" s="53"/>
      <c r="CW26" s="52">
        <v>0.482</v>
      </c>
      <c r="CX26" s="54">
        <f t="shared" si="46"/>
        <v>0</v>
      </c>
      <c r="CZ26" s="38"/>
      <c r="DA26" s="51" t="s">
        <v>265</v>
      </c>
      <c r="DB26" s="52"/>
      <c r="DC26" s="53"/>
      <c r="DD26" s="52">
        <v>0.482</v>
      </c>
      <c r="DE26" s="54">
        <f t="shared" si="47"/>
        <v>0</v>
      </c>
      <c r="DG26" s="38"/>
      <c r="DH26" s="51" t="s">
        <v>265</v>
      </c>
      <c r="DI26" s="52">
        <v>2080</v>
      </c>
      <c r="DJ26" s="53">
        <f>(DH5/60+1)*2</f>
        <v>17.666666666666664</v>
      </c>
      <c r="DK26" s="52">
        <v>0.482</v>
      </c>
      <c r="DL26" s="54">
        <f t="shared" si="48"/>
        <v>17.711893333333332</v>
      </c>
      <c r="DN26" s="38"/>
      <c r="DO26" s="51" t="s">
        <v>265</v>
      </c>
      <c r="DP26" s="52"/>
      <c r="DQ26" s="53"/>
      <c r="DR26" s="52">
        <v>0.482</v>
      </c>
      <c r="DS26" s="54">
        <f t="shared" si="49"/>
        <v>0</v>
      </c>
      <c r="DU26" s="38"/>
      <c r="DV26" s="51" t="s">
        <v>265</v>
      </c>
      <c r="DW26" s="52"/>
      <c r="DX26" s="53"/>
      <c r="DY26" s="52">
        <v>0.482</v>
      </c>
      <c r="DZ26" s="54">
        <f t="shared" si="50"/>
        <v>0</v>
      </c>
    </row>
    <row r="27" spans="2:130" ht="14.25">
      <c r="B27" s="38"/>
      <c r="C27" s="29"/>
      <c r="D27" s="38"/>
      <c r="E27" s="38"/>
      <c r="F27" s="38"/>
      <c r="G27" s="30"/>
      <c r="I27" s="38"/>
      <c r="J27" s="29"/>
      <c r="K27" s="38"/>
      <c r="L27" s="38"/>
      <c r="M27" s="38"/>
      <c r="N27" s="30"/>
      <c r="P27" s="38"/>
      <c r="Q27" s="29"/>
      <c r="R27" s="38"/>
      <c r="S27" s="38"/>
      <c r="T27" s="38"/>
      <c r="U27" s="30"/>
      <c r="W27" s="38"/>
      <c r="X27" s="29"/>
      <c r="Y27" s="38"/>
      <c r="Z27" s="38"/>
      <c r="AA27" s="38"/>
      <c r="AB27" s="30"/>
      <c r="AD27" s="38"/>
      <c r="AE27" s="43"/>
      <c r="AF27" s="44"/>
      <c r="AG27" s="49"/>
      <c r="AH27" s="44"/>
      <c r="AI27" s="50">
        <f t="shared" si="38"/>
        <v>0</v>
      </c>
      <c r="AK27" s="38"/>
      <c r="AL27" s="51"/>
      <c r="AM27" s="52">
        <v>1170</v>
      </c>
      <c r="AN27" s="53">
        <f>AN26</f>
        <v>9.333333333333334</v>
      </c>
      <c r="AO27" s="52">
        <v>0.482</v>
      </c>
      <c r="AP27" s="54">
        <f t="shared" si="39"/>
        <v>5.26344</v>
      </c>
      <c r="AW27" s="38"/>
      <c r="AX27" s="51"/>
      <c r="AY27" s="52">
        <v>1170</v>
      </c>
      <c r="AZ27" s="53">
        <f>AZ26</f>
        <v>9.333333333333334</v>
      </c>
      <c r="BA27" s="52">
        <v>0.482</v>
      </c>
      <c r="BB27" s="54">
        <f t="shared" si="40"/>
        <v>5.26344</v>
      </c>
      <c r="BJ27" s="38"/>
      <c r="BK27" s="51"/>
      <c r="BL27" s="52"/>
      <c r="BM27" s="53"/>
      <c r="BN27" s="52">
        <v>0.482</v>
      </c>
      <c r="BO27" s="54">
        <f t="shared" si="41"/>
        <v>0</v>
      </c>
      <c r="BQ27" s="38"/>
      <c r="BR27" s="51"/>
      <c r="BS27" s="52"/>
      <c r="BT27" s="53"/>
      <c r="BU27" s="52">
        <v>0.482</v>
      </c>
      <c r="BV27" s="54">
        <f t="shared" si="42"/>
        <v>0</v>
      </c>
      <c r="BX27" s="38"/>
      <c r="BY27" s="51"/>
      <c r="BZ27" s="52">
        <v>1170</v>
      </c>
      <c r="CA27" s="53">
        <f>CA26</f>
        <v>9.333333333333334</v>
      </c>
      <c r="CB27" s="52">
        <v>0.482</v>
      </c>
      <c r="CC27" s="54">
        <f t="shared" si="43"/>
        <v>5.26344</v>
      </c>
      <c r="CE27" s="38"/>
      <c r="CF27" s="51"/>
      <c r="CG27" s="52"/>
      <c r="CH27" s="53"/>
      <c r="CI27" s="52">
        <v>0.482</v>
      </c>
      <c r="CJ27" s="54">
        <f t="shared" si="44"/>
        <v>0</v>
      </c>
      <c r="CL27" s="38"/>
      <c r="CM27" s="51"/>
      <c r="CN27" s="52"/>
      <c r="CO27" s="53"/>
      <c r="CP27" s="52">
        <v>0.482</v>
      </c>
      <c r="CQ27" s="54">
        <f t="shared" si="45"/>
        <v>0</v>
      </c>
      <c r="CS27" s="38"/>
      <c r="CT27" s="51"/>
      <c r="CU27" s="52"/>
      <c r="CV27" s="53"/>
      <c r="CW27" s="52">
        <v>0.482</v>
      </c>
      <c r="CX27" s="54">
        <f t="shared" si="46"/>
        <v>0</v>
      </c>
      <c r="CZ27" s="38"/>
      <c r="DA27" s="51"/>
      <c r="DB27" s="52"/>
      <c r="DC27" s="53"/>
      <c r="DD27" s="52">
        <v>0.482</v>
      </c>
      <c r="DE27" s="54">
        <f t="shared" si="47"/>
        <v>0</v>
      </c>
      <c r="DG27" s="38"/>
      <c r="DH27" s="51"/>
      <c r="DI27" s="52">
        <v>1170</v>
      </c>
      <c r="DJ27" s="53">
        <v>9</v>
      </c>
      <c r="DK27" s="52">
        <v>0.482</v>
      </c>
      <c r="DL27" s="54">
        <f t="shared" si="48"/>
        <v>5.07546</v>
      </c>
      <c r="DN27" s="38"/>
      <c r="DO27" s="51"/>
      <c r="DP27" s="52"/>
      <c r="DQ27" s="53"/>
      <c r="DR27" s="52">
        <v>0.482</v>
      </c>
      <c r="DS27" s="54">
        <f t="shared" si="49"/>
        <v>0</v>
      </c>
      <c r="DU27" s="38"/>
      <c r="DV27" s="51"/>
      <c r="DW27" s="52"/>
      <c r="DX27" s="53"/>
      <c r="DY27" s="52">
        <v>0.482</v>
      </c>
      <c r="DZ27" s="54">
        <f t="shared" si="50"/>
        <v>0</v>
      </c>
    </row>
    <row r="28" spans="2:130" ht="14.25">
      <c r="B28" s="38"/>
      <c r="C28" s="29"/>
      <c r="D28" s="38"/>
      <c r="E28" s="38"/>
      <c r="F28" s="38"/>
      <c r="G28" s="30"/>
      <c r="I28" s="38"/>
      <c r="J28" s="29"/>
      <c r="K28" s="38"/>
      <c r="L28" s="38"/>
      <c r="M28" s="38"/>
      <c r="N28" s="30"/>
      <c r="P28" s="38"/>
      <c r="Q28" s="29"/>
      <c r="R28" s="38"/>
      <c r="S28" s="38"/>
      <c r="T28" s="38"/>
      <c r="U28" s="30"/>
      <c r="W28" s="38"/>
      <c r="X28" s="29"/>
      <c r="Y28" s="38"/>
      <c r="Z28" s="38"/>
      <c r="AA28" s="38"/>
      <c r="AB28" s="30"/>
      <c r="AD28" s="38"/>
      <c r="AE28" s="29"/>
      <c r="AF28" s="38"/>
      <c r="AG28" s="38"/>
      <c r="AH28" s="38"/>
      <c r="AI28" s="30"/>
      <c r="AK28" s="38"/>
      <c r="AL28" s="29"/>
      <c r="AM28" s="38"/>
      <c r="AN28" s="38"/>
      <c r="AO28" s="38"/>
      <c r="AP28" s="30"/>
      <c r="AW28" s="38"/>
      <c r="AX28" s="29"/>
      <c r="AY28" s="38"/>
      <c r="AZ28" s="38"/>
      <c r="BA28" s="38"/>
      <c r="BB28" s="30"/>
      <c r="BJ28" s="38"/>
      <c r="BK28" s="29"/>
      <c r="BL28" s="38"/>
      <c r="BM28" s="38"/>
      <c r="BN28" s="38"/>
      <c r="BO28" s="30"/>
      <c r="BQ28" s="38"/>
      <c r="BR28" s="29"/>
      <c r="BS28" s="38"/>
      <c r="BT28" s="38"/>
      <c r="BU28" s="38"/>
      <c r="BV28" s="30"/>
      <c r="BX28" s="38"/>
      <c r="BY28" s="29"/>
      <c r="BZ28" s="38"/>
      <c r="CA28" s="38"/>
      <c r="CB28" s="38"/>
      <c r="CC28" s="30"/>
      <c r="CE28" s="38"/>
      <c r="CF28" s="29"/>
      <c r="CG28" s="38"/>
      <c r="CH28" s="38"/>
      <c r="CI28" s="38"/>
      <c r="CJ28" s="30"/>
      <c r="CL28" s="38"/>
      <c r="CM28" s="29"/>
      <c r="CN28" s="38"/>
      <c r="CO28" s="38"/>
      <c r="CP28" s="38"/>
      <c r="CQ28" s="30"/>
      <c r="CS28" s="38"/>
      <c r="CT28" s="29"/>
      <c r="CU28" s="38"/>
      <c r="CV28" s="38"/>
      <c r="CW28" s="38"/>
      <c r="CX28" s="30"/>
      <c r="CZ28" s="38"/>
      <c r="DA28" s="29"/>
      <c r="DB28" s="38"/>
      <c r="DC28" s="38"/>
      <c r="DD28" s="38"/>
      <c r="DE28" s="30"/>
      <c r="DG28" s="38"/>
      <c r="DH28" s="29"/>
      <c r="DI28" s="38"/>
      <c r="DJ28" s="38"/>
      <c r="DK28" s="38"/>
      <c r="DL28" s="30"/>
      <c r="DN28" s="38"/>
      <c r="DO28" s="29"/>
      <c r="DP28" s="38"/>
      <c r="DQ28" s="38"/>
      <c r="DR28" s="38"/>
      <c r="DS28" s="30"/>
      <c r="DU28" s="38"/>
      <c r="DV28" s="29"/>
      <c r="DW28" s="38"/>
      <c r="DX28" s="38"/>
      <c r="DY28" s="38"/>
      <c r="DZ28" s="30"/>
    </row>
    <row r="29" spans="2:130" ht="14.25">
      <c r="B29" s="38"/>
      <c r="C29" s="29" t="s">
        <v>266</v>
      </c>
      <c r="D29" s="38"/>
      <c r="E29" s="38"/>
      <c r="F29" s="30"/>
      <c r="G29" s="30">
        <f>SUM(G8:G26)</f>
        <v>19.82611</v>
      </c>
      <c r="I29" s="38"/>
      <c r="J29" s="29" t="s">
        <v>266</v>
      </c>
      <c r="K29" s="38"/>
      <c r="L29" s="38"/>
      <c r="M29" s="30"/>
      <c r="N29" s="30">
        <f>SUM(N8:N26)</f>
        <v>21.21631</v>
      </c>
      <c r="P29" s="38"/>
      <c r="Q29" s="29" t="s">
        <v>266</v>
      </c>
      <c r="R29" s="38"/>
      <c r="S29" s="38"/>
      <c r="T29" s="30"/>
      <c r="U29" s="30">
        <f>SUM(U8:U26)</f>
        <v>24.003909999999998</v>
      </c>
      <c r="W29" s="38"/>
      <c r="X29" s="29" t="s">
        <v>266</v>
      </c>
      <c r="Y29" s="38"/>
      <c r="Z29" s="38"/>
      <c r="AA29" s="30"/>
      <c r="AB29" s="30">
        <f>SUM(AB8:AB26)</f>
        <v>25.397709999999996</v>
      </c>
      <c r="AD29" s="38"/>
      <c r="AE29" s="29" t="s">
        <v>266</v>
      </c>
      <c r="AF29" s="38"/>
      <c r="AG29" s="38"/>
      <c r="AH29" s="30"/>
      <c r="AI29" s="30">
        <f>SUM(AI8:AI28)</f>
        <v>29.036799999999996</v>
      </c>
      <c r="AK29" s="38"/>
      <c r="AL29" s="29" t="s">
        <v>266</v>
      </c>
      <c r="AM29" s="38"/>
      <c r="AN29" s="38"/>
      <c r="AO29" s="30"/>
      <c r="AP29" s="30">
        <f>SUM(AP8:AP28)</f>
        <v>40.13308</v>
      </c>
      <c r="AW29" s="38"/>
      <c r="AX29" s="29" t="s">
        <v>266</v>
      </c>
      <c r="AY29" s="38"/>
      <c r="AZ29" s="38"/>
      <c r="BA29" s="30"/>
      <c r="BB29" s="30">
        <f>SUM(BB8:BB28)</f>
        <v>42.112</v>
      </c>
      <c r="BJ29" s="38"/>
      <c r="BK29" s="29" t="s">
        <v>266</v>
      </c>
      <c r="BL29" s="38"/>
      <c r="BM29" s="38"/>
      <c r="BN29" s="30"/>
      <c r="BO29" s="30">
        <f>SUM(BO8:BO28)</f>
        <v>31.088919999999995</v>
      </c>
      <c r="BQ29" s="38"/>
      <c r="BR29" s="29" t="s">
        <v>266</v>
      </c>
      <c r="BS29" s="38"/>
      <c r="BT29" s="38"/>
      <c r="BU29" s="30"/>
      <c r="BV29" s="30">
        <f>SUM(BV8:BV28)</f>
        <v>34.03292</v>
      </c>
      <c r="BX29" s="38"/>
      <c r="BY29" s="29" t="s">
        <v>266</v>
      </c>
      <c r="BZ29" s="38"/>
      <c r="CA29" s="38"/>
      <c r="CB29" s="30"/>
      <c r="CC29" s="30">
        <f>SUM(CC8:CC28)</f>
        <v>45.205600000000004</v>
      </c>
      <c r="CE29" s="38"/>
      <c r="CF29" s="29" t="s">
        <v>266</v>
      </c>
      <c r="CG29" s="38"/>
      <c r="CH29" s="38"/>
      <c r="CI29" s="30"/>
      <c r="CJ29" s="30">
        <f>SUM(CJ8:CJ28)</f>
        <v>34.6144</v>
      </c>
      <c r="CL29" s="38"/>
      <c r="CM29" s="29" t="s">
        <v>266</v>
      </c>
      <c r="CN29" s="38"/>
      <c r="CO29" s="38"/>
      <c r="CP29" s="30"/>
      <c r="CQ29" s="30">
        <f>SUM(CQ8:CQ28)</f>
        <v>35.856399999999994</v>
      </c>
      <c r="CS29" s="38"/>
      <c r="CT29" s="29" t="s">
        <v>266</v>
      </c>
      <c r="CU29" s="38"/>
      <c r="CV29" s="38"/>
      <c r="CW29" s="30"/>
      <c r="CX29" s="30">
        <f>SUM(CX8:CX28)</f>
        <v>51.23734</v>
      </c>
      <c r="CZ29" s="38"/>
      <c r="DA29" s="29" t="s">
        <v>266</v>
      </c>
      <c r="DB29" s="38"/>
      <c r="DC29" s="38"/>
      <c r="DD29" s="30"/>
      <c r="DE29" s="30">
        <f>SUM(DE8:DE28)</f>
        <v>52.773340000000005</v>
      </c>
      <c r="DG29" s="38"/>
      <c r="DH29" s="29" t="s">
        <v>266</v>
      </c>
      <c r="DI29" s="38"/>
      <c r="DJ29" s="38"/>
      <c r="DK29" s="30"/>
      <c r="DL29" s="30">
        <f>SUM(DL8:DL28)</f>
        <v>74.23625333333334</v>
      </c>
      <c r="DN29" s="38"/>
      <c r="DO29" s="29" t="s">
        <v>266</v>
      </c>
      <c r="DP29" s="38"/>
      <c r="DQ29" s="38"/>
      <c r="DR29" s="30"/>
      <c r="DS29" s="30">
        <f>SUM(DS8:DS28)</f>
        <v>56.09058</v>
      </c>
      <c r="DU29" s="38"/>
      <c r="DV29" s="29" t="s">
        <v>266</v>
      </c>
      <c r="DW29" s="38"/>
      <c r="DX29" s="38"/>
      <c r="DY29" s="30"/>
      <c r="DZ29" s="30">
        <f>SUM(DZ8:DZ28)</f>
        <v>60.62258</v>
      </c>
    </row>
    <row r="30" spans="2:130" ht="14.25">
      <c r="B30" s="38"/>
      <c r="C30" s="29" t="s">
        <v>267</v>
      </c>
      <c r="D30" s="38"/>
      <c r="E30" s="38"/>
      <c r="F30" s="38"/>
      <c r="G30" s="41">
        <f>G29/F4*1.12</f>
        <v>8.534241592682271</v>
      </c>
      <c r="I30" s="38"/>
      <c r="J30" s="29" t="s">
        <v>267</v>
      </c>
      <c r="K30" s="38"/>
      <c r="L30" s="38"/>
      <c r="M30" s="38"/>
      <c r="N30" s="41">
        <f>N29/M4*1.12</f>
        <v>7.809085806303198</v>
      </c>
      <c r="P30" s="38"/>
      <c r="Q30" s="29" t="s">
        <v>267</v>
      </c>
      <c r="R30" s="38"/>
      <c r="S30" s="38"/>
      <c r="T30" s="38"/>
      <c r="U30" s="41">
        <f>U29/T4*1.12</f>
        <v>6.849697877652933</v>
      </c>
      <c r="W30" s="38"/>
      <c r="X30" s="29" t="s">
        <v>267</v>
      </c>
      <c r="Y30" s="38"/>
      <c r="Z30" s="38"/>
      <c r="AA30" s="38"/>
      <c r="AB30" s="41">
        <f>AB29/AA4*1.12</f>
        <v>6.515365720699054</v>
      </c>
      <c r="AD30" s="38"/>
      <c r="AE30" s="29" t="s">
        <v>267</v>
      </c>
      <c r="AF30" s="38"/>
      <c r="AG30" s="38"/>
      <c r="AH30" s="38"/>
      <c r="AI30" s="41">
        <f>AI29/AH4*1.1</f>
        <v>6.758602594214858</v>
      </c>
      <c r="AK30" s="38"/>
      <c r="AL30" s="29" t="s">
        <v>267</v>
      </c>
      <c r="AM30" s="38"/>
      <c r="AN30" s="38"/>
      <c r="AO30" s="38"/>
      <c r="AP30" s="41">
        <f>AP29/AO4*1.1</f>
        <v>9.341371590596502</v>
      </c>
      <c r="AW30" s="38"/>
      <c r="AX30" s="29" t="s">
        <v>267</v>
      </c>
      <c r="AY30" s="38"/>
      <c r="AZ30" s="38"/>
      <c r="BA30" s="38"/>
      <c r="BB30" s="41">
        <f>BB29/BA4*1.1</f>
        <v>8.381407298847456</v>
      </c>
      <c r="BJ30" s="38"/>
      <c r="BK30" s="29" t="s">
        <v>267</v>
      </c>
      <c r="BL30" s="38"/>
      <c r="BM30" s="38"/>
      <c r="BN30" s="38"/>
      <c r="BO30" s="41">
        <f>BO29/BN4*1.1</f>
        <v>6.187521395357252</v>
      </c>
      <c r="BQ30" s="38"/>
      <c r="BR30" s="29" t="s">
        <v>267</v>
      </c>
      <c r="BS30" s="38"/>
      <c r="BT30" s="38"/>
      <c r="BU30" s="38"/>
      <c r="BV30" s="41">
        <f>BV29/BU4*1.1</f>
        <v>5.45566271732319</v>
      </c>
      <c r="BX30" s="38"/>
      <c r="BY30" s="29" t="s">
        <v>267</v>
      </c>
      <c r="BZ30" s="38"/>
      <c r="CA30" s="38"/>
      <c r="CB30" s="38"/>
      <c r="CC30" s="41">
        <f>CC29/CB4*1.1</f>
        <v>6.975292120804053</v>
      </c>
      <c r="CE30" s="38"/>
      <c r="CF30" s="29" t="s">
        <v>267</v>
      </c>
      <c r="CG30" s="38"/>
      <c r="CH30" s="38"/>
      <c r="CI30" s="38"/>
      <c r="CJ30" s="41">
        <f>CJ29/CI4*1.1</f>
        <v>5.34105401955421</v>
      </c>
      <c r="CL30" s="38"/>
      <c r="CM30" s="29" t="s">
        <v>267</v>
      </c>
      <c r="CN30" s="38"/>
      <c r="CO30" s="38"/>
      <c r="CP30" s="38"/>
      <c r="CQ30" s="41">
        <f>CQ29/CP4*1.1</f>
        <v>4.973838257733388</v>
      </c>
      <c r="CS30" s="38"/>
      <c r="CT30" s="29" t="s">
        <v>267</v>
      </c>
      <c r="CU30" s="38"/>
      <c r="CV30" s="38"/>
      <c r="CW30" s="38"/>
      <c r="CX30" s="41">
        <f>CX29/CW4*1.1</f>
        <v>5.929686161874403</v>
      </c>
      <c r="CZ30" s="38"/>
      <c r="DA30" s="29" t="s">
        <v>267</v>
      </c>
      <c r="DB30" s="38"/>
      <c r="DC30" s="38"/>
      <c r="DD30" s="38"/>
      <c r="DE30" s="41">
        <f>DE29/DD4*1.1</f>
        <v>6.10744710622942</v>
      </c>
      <c r="DG30" s="38"/>
      <c r="DH30" s="29" t="s">
        <v>267</v>
      </c>
      <c r="DI30" s="38"/>
      <c r="DJ30" s="38"/>
      <c r="DK30" s="38"/>
      <c r="DL30" s="41">
        <f>DL29/DK4*1.1</f>
        <v>8.591345376244535</v>
      </c>
      <c r="DN30" s="38"/>
      <c r="DO30" s="29" t="s">
        <v>267</v>
      </c>
      <c r="DP30" s="38"/>
      <c r="DQ30" s="38"/>
      <c r="DR30" s="38"/>
      <c r="DS30" s="41">
        <f>DS29/DR4*1.1</f>
        <v>5.550575122122366</v>
      </c>
      <c r="DU30" s="38"/>
      <c r="DV30" s="29" t="s">
        <v>267</v>
      </c>
      <c r="DW30" s="38"/>
      <c r="DX30" s="38"/>
      <c r="DY30" s="38"/>
      <c r="DZ30" s="41">
        <f>DZ29/DY4*1.1</f>
        <v>4.8319195124955625</v>
      </c>
    </row>
    <row r="31" spans="2:130" ht="14.25">
      <c r="B31" s="36">
        <v>3</v>
      </c>
      <c r="C31" s="42" t="s">
        <v>268</v>
      </c>
      <c r="D31" s="6"/>
      <c r="E31" s="6"/>
      <c r="F31" s="6"/>
      <c r="G31" s="6"/>
      <c r="I31" s="36">
        <v>3</v>
      </c>
      <c r="J31" s="42" t="s">
        <v>268</v>
      </c>
      <c r="K31" s="6"/>
      <c r="L31" s="6"/>
      <c r="M31" s="6"/>
      <c r="N31" s="6"/>
      <c r="P31" s="36">
        <v>3</v>
      </c>
      <c r="Q31" s="42" t="s">
        <v>268</v>
      </c>
      <c r="R31" s="6"/>
      <c r="S31" s="6"/>
      <c r="T31" s="6"/>
      <c r="U31" s="6"/>
      <c r="W31" s="36">
        <v>3</v>
      </c>
      <c r="X31" s="42" t="s">
        <v>268</v>
      </c>
      <c r="Y31" s="6"/>
      <c r="Z31" s="6"/>
      <c r="AA31" s="6"/>
      <c r="AB31" s="6"/>
      <c r="AD31" s="36">
        <v>3</v>
      </c>
      <c r="AE31" s="42" t="s">
        <v>268</v>
      </c>
      <c r="AF31" s="6"/>
      <c r="AG31" s="6"/>
      <c r="AH31" s="6"/>
      <c r="AI31" s="6"/>
      <c r="AK31" s="36">
        <v>3</v>
      </c>
      <c r="AL31" s="42" t="s">
        <v>268</v>
      </c>
      <c r="AM31" s="6"/>
      <c r="AN31" s="6"/>
      <c r="AO31" s="6"/>
      <c r="AP31" s="6"/>
      <c r="AW31" s="36">
        <v>3</v>
      </c>
      <c r="AX31" s="42" t="s">
        <v>268</v>
      </c>
      <c r="AY31" s="6"/>
      <c r="AZ31" s="6"/>
      <c r="BA31" s="6"/>
      <c r="BB31" s="6"/>
      <c r="BJ31" s="36">
        <v>3</v>
      </c>
      <c r="BK31" s="42" t="s">
        <v>268</v>
      </c>
      <c r="BL31" s="6"/>
      <c r="BM31" s="6"/>
      <c r="BN31" s="6"/>
      <c r="BO31" s="6"/>
      <c r="BQ31" s="36">
        <v>3</v>
      </c>
      <c r="BR31" s="42" t="s">
        <v>268</v>
      </c>
      <c r="BS31" s="6"/>
      <c r="BT31" s="6"/>
      <c r="BU31" s="6"/>
      <c r="BV31" s="6"/>
      <c r="BX31" s="36">
        <v>3</v>
      </c>
      <c r="BY31" s="42" t="s">
        <v>268</v>
      </c>
      <c r="BZ31" s="6"/>
      <c r="CA31" s="6"/>
      <c r="CB31" s="6"/>
      <c r="CC31" s="6"/>
      <c r="CE31" s="36">
        <v>3</v>
      </c>
      <c r="CF31" s="42" t="s">
        <v>268</v>
      </c>
      <c r="CG31" s="6"/>
      <c r="CH31" s="6"/>
      <c r="CI31" s="6"/>
      <c r="CJ31" s="6"/>
      <c r="CL31" s="36">
        <v>3</v>
      </c>
      <c r="CM31" s="42" t="s">
        <v>268</v>
      </c>
      <c r="CN31" s="6"/>
      <c r="CO31" s="6"/>
      <c r="CP31" s="6"/>
      <c r="CQ31" s="6"/>
      <c r="CS31" s="36">
        <v>3</v>
      </c>
      <c r="CT31" s="42" t="s">
        <v>268</v>
      </c>
      <c r="CU31" s="6"/>
      <c r="CV31" s="6"/>
      <c r="CW31" s="6"/>
      <c r="CX31" s="6"/>
      <c r="CZ31" s="36">
        <v>3</v>
      </c>
      <c r="DA31" s="42" t="s">
        <v>268</v>
      </c>
      <c r="DB31" s="6"/>
      <c r="DC31" s="6"/>
      <c r="DD31" s="6"/>
      <c r="DE31" s="6"/>
      <c r="DG31" s="36">
        <v>3</v>
      </c>
      <c r="DH31" s="42" t="s">
        <v>268</v>
      </c>
      <c r="DI31" s="6"/>
      <c r="DJ31" s="6"/>
      <c r="DK31" s="6"/>
      <c r="DL31" s="6"/>
      <c r="DN31" s="36">
        <v>3</v>
      </c>
      <c r="DO31" s="42" t="s">
        <v>268</v>
      </c>
      <c r="DP31" s="6"/>
      <c r="DQ31" s="6"/>
      <c r="DR31" s="6"/>
      <c r="DS31" s="6"/>
      <c r="DU31" s="36">
        <v>3</v>
      </c>
      <c r="DV31" s="42" t="s">
        <v>268</v>
      </c>
      <c r="DW31" s="6"/>
      <c r="DX31" s="6"/>
      <c r="DY31" s="6"/>
      <c r="DZ31" s="6"/>
    </row>
    <row r="32" spans="2:130" ht="14.25">
      <c r="B32" s="29" t="s">
        <v>1</v>
      </c>
      <c r="C32" s="29" t="s">
        <v>244</v>
      </c>
      <c r="D32" s="43" t="s">
        <v>14</v>
      </c>
      <c r="E32" s="29" t="s">
        <v>15</v>
      </c>
      <c r="F32" s="29" t="s">
        <v>160</v>
      </c>
      <c r="G32" s="29" t="s">
        <v>269</v>
      </c>
      <c r="I32" s="29" t="s">
        <v>1</v>
      </c>
      <c r="J32" s="29" t="s">
        <v>244</v>
      </c>
      <c r="K32" s="43" t="s">
        <v>14</v>
      </c>
      <c r="L32" s="29" t="s">
        <v>15</v>
      </c>
      <c r="M32" s="29" t="s">
        <v>160</v>
      </c>
      <c r="N32" s="29" t="s">
        <v>269</v>
      </c>
      <c r="P32" s="29" t="s">
        <v>1</v>
      </c>
      <c r="Q32" s="29" t="s">
        <v>244</v>
      </c>
      <c r="R32" s="43" t="s">
        <v>14</v>
      </c>
      <c r="S32" s="29" t="s">
        <v>15</v>
      </c>
      <c r="T32" s="29" t="s">
        <v>160</v>
      </c>
      <c r="U32" s="29" t="s">
        <v>269</v>
      </c>
      <c r="W32" s="29" t="s">
        <v>1</v>
      </c>
      <c r="X32" s="29" t="s">
        <v>244</v>
      </c>
      <c r="Y32" s="43" t="s">
        <v>14</v>
      </c>
      <c r="Z32" s="29" t="s">
        <v>15</v>
      </c>
      <c r="AA32" s="29" t="s">
        <v>160</v>
      </c>
      <c r="AB32" s="29" t="s">
        <v>269</v>
      </c>
      <c r="AD32" s="29" t="s">
        <v>1</v>
      </c>
      <c r="AE32" s="29" t="s">
        <v>244</v>
      </c>
      <c r="AF32" s="43" t="s">
        <v>14</v>
      </c>
      <c r="AG32" s="29" t="s">
        <v>15</v>
      </c>
      <c r="AH32" s="29" t="s">
        <v>160</v>
      </c>
      <c r="AI32" s="29" t="s">
        <v>269</v>
      </c>
      <c r="AK32" s="29" t="s">
        <v>1</v>
      </c>
      <c r="AL32" s="29" t="s">
        <v>244</v>
      </c>
      <c r="AM32" s="43" t="s">
        <v>14</v>
      </c>
      <c r="AN32" s="29" t="s">
        <v>15</v>
      </c>
      <c r="AO32" s="29" t="s">
        <v>160</v>
      </c>
      <c r="AP32" s="29" t="s">
        <v>269</v>
      </c>
      <c r="AW32" s="29" t="s">
        <v>1</v>
      </c>
      <c r="AX32" s="29" t="s">
        <v>244</v>
      </c>
      <c r="AY32" s="43" t="s">
        <v>14</v>
      </c>
      <c r="AZ32" s="29" t="s">
        <v>15</v>
      </c>
      <c r="BA32" s="29" t="s">
        <v>160</v>
      </c>
      <c r="BB32" s="29" t="s">
        <v>269</v>
      </c>
      <c r="BJ32" s="29" t="s">
        <v>1</v>
      </c>
      <c r="BK32" s="29" t="s">
        <v>244</v>
      </c>
      <c r="BL32" s="43" t="s">
        <v>14</v>
      </c>
      <c r="BM32" s="29" t="s">
        <v>15</v>
      </c>
      <c r="BN32" s="29" t="s">
        <v>160</v>
      </c>
      <c r="BO32" s="29" t="s">
        <v>269</v>
      </c>
      <c r="BQ32" s="29" t="s">
        <v>1</v>
      </c>
      <c r="BR32" s="29" t="s">
        <v>244</v>
      </c>
      <c r="BS32" s="43" t="s">
        <v>14</v>
      </c>
      <c r="BT32" s="29" t="s">
        <v>15</v>
      </c>
      <c r="BU32" s="29" t="s">
        <v>160</v>
      </c>
      <c r="BV32" s="29" t="s">
        <v>269</v>
      </c>
      <c r="BX32" s="29" t="s">
        <v>1</v>
      </c>
      <c r="BY32" s="29" t="s">
        <v>244</v>
      </c>
      <c r="BZ32" s="43" t="s">
        <v>14</v>
      </c>
      <c r="CA32" s="29" t="s">
        <v>15</v>
      </c>
      <c r="CB32" s="29" t="s">
        <v>160</v>
      </c>
      <c r="CC32" s="29" t="s">
        <v>269</v>
      </c>
      <c r="CE32" s="29" t="s">
        <v>1</v>
      </c>
      <c r="CF32" s="29" t="s">
        <v>244</v>
      </c>
      <c r="CG32" s="43" t="s">
        <v>14</v>
      </c>
      <c r="CH32" s="29" t="s">
        <v>15</v>
      </c>
      <c r="CI32" s="29" t="s">
        <v>160</v>
      </c>
      <c r="CJ32" s="29" t="s">
        <v>269</v>
      </c>
      <c r="CL32" s="29" t="s">
        <v>1</v>
      </c>
      <c r="CM32" s="29" t="s">
        <v>244</v>
      </c>
      <c r="CN32" s="43" t="s">
        <v>14</v>
      </c>
      <c r="CO32" s="29" t="s">
        <v>15</v>
      </c>
      <c r="CP32" s="29" t="s">
        <v>160</v>
      </c>
      <c r="CQ32" s="29" t="s">
        <v>269</v>
      </c>
      <c r="CS32" s="29" t="s">
        <v>1</v>
      </c>
      <c r="CT32" s="29" t="s">
        <v>244</v>
      </c>
      <c r="CU32" s="43" t="s">
        <v>14</v>
      </c>
      <c r="CV32" s="29" t="s">
        <v>15</v>
      </c>
      <c r="CW32" s="29" t="s">
        <v>160</v>
      </c>
      <c r="CX32" s="29" t="s">
        <v>269</v>
      </c>
      <c r="CZ32" s="29" t="s">
        <v>1</v>
      </c>
      <c r="DA32" s="29" t="s">
        <v>244</v>
      </c>
      <c r="DB32" s="43" t="s">
        <v>14</v>
      </c>
      <c r="DC32" s="29" t="s">
        <v>15</v>
      </c>
      <c r="DD32" s="29" t="s">
        <v>160</v>
      </c>
      <c r="DE32" s="29" t="s">
        <v>269</v>
      </c>
      <c r="DG32" s="29" t="s">
        <v>1</v>
      </c>
      <c r="DH32" s="29" t="s">
        <v>244</v>
      </c>
      <c r="DI32" s="43" t="s">
        <v>14</v>
      </c>
      <c r="DJ32" s="29" t="s">
        <v>15</v>
      </c>
      <c r="DK32" s="29" t="s">
        <v>160</v>
      </c>
      <c r="DL32" s="29" t="s">
        <v>269</v>
      </c>
      <c r="DN32" s="29" t="s">
        <v>1</v>
      </c>
      <c r="DO32" s="29" t="s">
        <v>244</v>
      </c>
      <c r="DP32" s="43" t="s">
        <v>14</v>
      </c>
      <c r="DQ32" s="29" t="s">
        <v>15</v>
      </c>
      <c r="DR32" s="29" t="s">
        <v>160</v>
      </c>
      <c r="DS32" s="29" t="s">
        <v>269</v>
      </c>
      <c r="DU32" s="29" t="s">
        <v>1</v>
      </c>
      <c r="DV32" s="29" t="s">
        <v>244</v>
      </c>
      <c r="DW32" s="43" t="s">
        <v>14</v>
      </c>
      <c r="DX32" s="29" t="s">
        <v>15</v>
      </c>
      <c r="DY32" s="29" t="s">
        <v>160</v>
      </c>
      <c r="DZ32" s="29" t="s">
        <v>269</v>
      </c>
    </row>
    <row r="33" spans="2:130" ht="14.25">
      <c r="B33" s="43"/>
      <c r="D33" s="38">
        <f>D17-85</f>
        <v>660</v>
      </c>
      <c r="E33" s="44">
        <f>E17-85</f>
        <v>1165</v>
      </c>
      <c r="F33" s="38">
        <f>F17</f>
        <v>2</v>
      </c>
      <c r="G33" s="45">
        <f>F33*E33*D33/1000000</f>
        <v>1.5378</v>
      </c>
      <c r="I33" s="43"/>
      <c r="K33" s="38">
        <f>K17-85</f>
        <v>660</v>
      </c>
      <c r="L33" s="44">
        <f>L17-85</f>
        <v>1365</v>
      </c>
      <c r="M33" s="38">
        <f>M17</f>
        <v>2</v>
      </c>
      <c r="N33" s="45">
        <f>M33*L33*K33/1000000</f>
        <v>1.8018</v>
      </c>
      <c r="P33" s="43"/>
      <c r="R33" s="38">
        <f>R17-85</f>
        <v>660</v>
      </c>
      <c r="S33" s="44">
        <f>S17-85</f>
        <v>1365</v>
      </c>
      <c r="T33" s="38">
        <f>T17</f>
        <v>2</v>
      </c>
      <c r="U33" s="45">
        <f>T33*S33*R33/1000000</f>
        <v>1.8018</v>
      </c>
      <c r="W33" s="43"/>
      <c r="Y33" s="38">
        <f>Y17-85</f>
        <v>660</v>
      </c>
      <c r="Z33" s="44">
        <f>Z17-85</f>
        <v>1365</v>
      </c>
      <c r="AA33" s="38">
        <f>AA17</f>
        <v>2</v>
      </c>
      <c r="AB33" s="45">
        <f>AA33*Z33*Y33/1000000</f>
        <v>1.8018</v>
      </c>
      <c r="AD33" s="43"/>
      <c r="AF33" s="38">
        <f>AF17-85</f>
        <v>675</v>
      </c>
      <c r="AG33" s="44">
        <f>AG17-85</f>
        <v>1165</v>
      </c>
      <c r="AH33" s="38">
        <f>AH17</f>
        <v>2</v>
      </c>
      <c r="AI33" s="45">
        <f>AH33*AG33*AF33/1000000</f>
        <v>1.57275</v>
      </c>
      <c r="AK33" s="43"/>
      <c r="AM33" s="38">
        <f>AM17-85</f>
        <v>675</v>
      </c>
      <c r="AN33" s="44">
        <f>AN17-85</f>
        <v>1165</v>
      </c>
      <c r="AO33" s="38">
        <f>AO17</f>
        <v>2</v>
      </c>
      <c r="AP33" s="45">
        <f>AO33*AN33*AM33/1000000</f>
        <v>1.57275</v>
      </c>
      <c r="AW33" s="43"/>
      <c r="AY33" s="38">
        <f>AY17-85</f>
        <v>675</v>
      </c>
      <c r="AZ33" s="44">
        <f>AZ17-85</f>
        <v>1345</v>
      </c>
      <c r="BA33" s="38">
        <f>BA17</f>
        <v>2</v>
      </c>
      <c r="BB33" s="45">
        <f>BA33*AZ33*AY33/1000000</f>
        <v>1.81575</v>
      </c>
      <c r="BJ33" s="43"/>
      <c r="BL33" s="38">
        <f>BL17-85</f>
        <v>675</v>
      </c>
      <c r="BM33" s="44">
        <f>BM17-85</f>
        <v>1345</v>
      </c>
      <c r="BN33" s="38">
        <f>BN17</f>
        <v>2</v>
      </c>
      <c r="BO33" s="45">
        <f>BN33*BM33*BL33/1000000</f>
        <v>1.81575</v>
      </c>
      <c r="BQ33" s="43"/>
      <c r="BS33" s="38">
        <f>BS17-85</f>
        <v>675</v>
      </c>
      <c r="BT33" s="44">
        <f>BT17-85</f>
        <v>1345</v>
      </c>
      <c r="BU33" s="38">
        <f>BU17</f>
        <v>2</v>
      </c>
      <c r="BV33" s="45">
        <f>BU33*BT33*BS33/1000000</f>
        <v>1.81575</v>
      </c>
      <c r="BX33" s="43"/>
      <c r="BZ33" s="38">
        <f>BZ17-85</f>
        <v>675</v>
      </c>
      <c r="CA33" s="44">
        <f>CA17-85</f>
        <v>1345</v>
      </c>
      <c r="CB33" s="38">
        <f>CB17</f>
        <v>2</v>
      </c>
      <c r="CC33" s="45">
        <f>CB33*CA33*BZ33/1000000</f>
        <v>1.81575</v>
      </c>
      <c r="CE33" s="43"/>
      <c r="CG33" s="38">
        <f>CG17-85</f>
        <v>675</v>
      </c>
      <c r="CH33" s="44">
        <f>CH17-85</f>
        <v>1345</v>
      </c>
      <c r="CI33" s="38">
        <f>CI17</f>
        <v>2</v>
      </c>
      <c r="CJ33" s="45">
        <f>CI33*CH33*CG33/1000000</f>
        <v>1.81575</v>
      </c>
      <c r="CL33" s="43"/>
      <c r="CN33" s="38">
        <f>CN17-85</f>
        <v>675</v>
      </c>
      <c r="CO33" s="44">
        <f>CO17-85</f>
        <v>1345</v>
      </c>
      <c r="CP33" s="38">
        <f>CP17</f>
        <v>2</v>
      </c>
      <c r="CQ33" s="45">
        <f>CP33*CO33*CN33/1000000</f>
        <v>1.81575</v>
      </c>
      <c r="CS33" s="43"/>
      <c r="CU33" s="38">
        <f>CU17-85</f>
        <v>675</v>
      </c>
      <c r="CV33" s="44">
        <f>CV17-85</f>
        <v>1165</v>
      </c>
      <c r="CW33" s="38">
        <f>CW17</f>
        <v>4</v>
      </c>
      <c r="CX33" s="45">
        <f>CW33*CV33*CU33/1000000</f>
        <v>3.1455</v>
      </c>
      <c r="CZ33" s="43"/>
      <c r="DB33" s="38">
        <f>DB17-85</f>
        <v>675</v>
      </c>
      <c r="DC33" s="44">
        <f>DC17-85</f>
        <v>1165</v>
      </c>
      <c r="DD33" s="38">
        <f>DD17</f>
        <v>4</v>
      </c>
      <c r="DE33" s="45">
        <f>DD33*DC33*DB33/1000000</f>
        <v>3.1455</v>
      </c>
      <c r="DG33" s="43"/>
      <c r="DI33" s="38">
        <f>DI17-85</f>
        <v>675</v>
      </c>
      <c r="DJ33" s="44">
        <f>DJ17-85</f>
        <v>1165</v>
      </c>
      <c r="DK33" s="38">
        <f>DK17</f>
        <v>4</v>
      </c>
      <c r="DL33" s="45">
        <f>DK33*DJ33*DI33/1000000</f>
        <v>3.1455</v>
      </c>
      <c r="DN33" s="43"/>
      <c r="DP33" s="38">
        <f>DP17-85</f>
        <v>675</v>
      </c>
      <c r="DQ33" s="44">
        <f>DQ17-85</f>
        <v>1365</v>
      </c>
      <c r="DR33" s="38">
        <f>DR17</f>
        <v>4</v>
      </c>
      <c r="DS33" s="45">
        <f>DR33*DQ33*DP33/1000000</f>
        <v>3.6855</v>
      </c>
      <c r="DU33" s="43"/>
      <c r="DW33" s="38">
        <f>DW17-85</f>
        <v>675</v>
      </c>
      <c r="DX33" s="44">
        <f>DX17-85</f>
        <v>1365</v>
      </c>
      <c r="DY33" s="38">
        <f>DY17</f>
        <v>4</v>
      </c>
      <c r="DZ33" s="45">
        <f>DY33*DX33*DW33/1000000</f>
        <v>3.6855</v>
      </c>
    </row>
    <row r="34" spans="2:130" ht="14.25">
      <c r="B34" s="43"/>
      <c r="C34" s="38"/>
      <c r="D34" s="44"/>
      <c r="E34" s="38"/>
      <c r="F34" s="38"/>
      <c r="G34" s="45"/>
      <c r="I34" s="43"/>
      <c r="J34" s="38"/>
      <c r="K34" s="44"/>
      <c r="L34" s="38"/>
      <c r="M34" s="38"/>
      <c r="N34" s="45"/>
      <c r="P34" s="43"/>
      <c r="Q34" s="38"/>
      <c r="R34" s="44"/>
      <c r="S34" s="38"/>
      <c r="T34" s="38"/>
      <c r="U34" s="45"/>
      <c r="W34" s="43"/>
      <c r="X34" s="38"/>
      <c r="Y34" s="44"/>
      <c r="Z34" s="38"/>
      <c r="AA34" s="38"/>
      <c r="AB34" s="45"/>
      <c r="AD34" s="43"/>
      <c r="AE34" s="38"/>
      <c r="AF34" s="44">
        <v>1200</v>
      </c>
      <c r="AG34" s="38">
        <v>1300</v>
      </c>
      <c r="AH34" s="38">
        <v>1</v>
      </c>
      <c r="AI34" s="45">
        <f>AH34*AG34*AF34/1000000</f>
        <v>1.56</v>
      </c>
      <c r="AK34" s="43"/>
      <c r="AL34" s="38"/>
      <c r="AM34" s="44">
        <v>1200</v>
      </c>
      <c r="AN34" s="38">
        <v>1300</v>
      </c>
      <c r="AO34" s="38">
        <v>1</v>
      </c>
      <c r="AP34" s="45">
        <f>AO34*AN34*AM34/1000000</f>
        <v>1.56</v>
      </c>
      <c r="AW34" s="43"/>
      <c r="AX34" s="38"/>
      <c r="AY34" s="44">
        <v>1200</v>
      </c>
      <c r="AZ34" s="38">
        <v>1500</v>
      </c>
      <c r="BA34" s="38">
        <v>1</v>
      </c>
      <c r="BB34" s="45">
        <f>BA34*AZ34*AY34/1000000</f>
        <v>1.8</v>
      </c>
      <c r="BJ34" s="43"/>
      <c r="BK34" s="38"/>
      <c r="BL34" s="44">
        <v>1200</v>
      </c>
      <c r="BM34" s="38">
        <v>1500</v>
      </c>
      <c r="BN34" s="38">
        <v>1</v>
      </c>
      <c r="BO34" s="45">
        <f>BN34*BM34*BL34/1000000</f>
        <v>1.8</v>
      </c>
      <c r="BQ34" s="43"/>
      <c r="BR34" s="38"/>
      <c r="BS34" s="44">
        <v>1200</v>
      </c>
      <c r="BT34" s="38">
        <v>1500</v>
      </c>
      <c r="BU34" s="38">
        <v>1</v>
      </c>
      <c r="BV34" s="45">
        <f>BU34*BT34*BS34/1000000</f>
        <v>1.8</v>
      </c>
      <c r="BX34" s="43"/>
      <c r="BY34" s="38"/>
      <c r="BZ34" s="44">
        <v>1200</v>
      </c>
      <c r="CA34" s="38">
        <v>1500</v>
      </c>
      <c r="CB34" s="38">
        <v>1</v>
      </c>
      <c r="CC34" s="45">
        <f>CB34*CA34*BZ34/1000000</f>
        <v>1.8</v>
      </c>
      <c r="CE34" s="43"/>
      <c r="CF34" s="38"/>
      <c r="CG34" s="44">
        <v>1200</v>
      </c>
      <c r="CH34" s="38">
        <v>1500</v>
      </c>
      <c r="CI34" s="38">
        <v>1</v>
      </c>
      <c r="CJ34" s="45">
        <f>CI34*CH34*CG34/1000000</f>
        <v>1.8</v>
      </c>
      <c r="CL34" s="43"/>
      <c r="CM34" s="38"/>
      <c r="CN34" s="44">
        <v>1200</v>
      </c>
      <c r="CO34" s="38">
        <v>1500</v>
      </c>
      <c r="CP34" s="38">
        <v>1</v>
      </c>
      <c r="CQ34" s="45">
        <f>CP34*CO34*CN34/1000000</f>
        <v>1.8</v>
      </c>
      <c r="CS34" s="43"/>
      <c r="CT34" s="38"/>
      <c r="CU34" s="44">
        <v>1200</v>
      </c>
      <c r="CV34" s="38">
        <v>1500</v>
      </c>
      <c r="CW34" s="38">
        <v>1</v>
      </c>
      <c r="CX34" s="45">
        <f>CW34*CV34*CU34/1000000</f>
        <v>1.8</v>
      </c>
      <c r="CZ34" s="43"/>
      <c r="DA34" s="38"/>
      <c r="DB34" s="44">
        <v>1200</v>
      </c>
      <c r="DC34" s="38">
        <v>1500</v>
      </c>
      <c r="DD34" s="38">
        <v>1</v>
      </c>
      <c r="DE34" s="45">
        <f>DD34*DC34*DB34/1000000</f>
        <v>1.8</v>
      </c>
      <c r="DG34" s="43"/>
      <c r="DH34" s="38"/>
      <c r="DI34" s="44">
        <v>1200</v>
      </c>
      <c r="DJ34" s="38">
        <v>1500</v>
      </c>
      <c r="DK34" s="38">
        <v>1</v>
      </c>
      <c r="DL34" s="45">
        <f>DK34*DJ34*DI34/1000000</f>
        <v>1.8</v>
      </c>
      <c r="DN34" s="43"/>
      <c r="DO34" s="38"/>
      <c r="DP34" s="44">
        <v>1200</v>
      </c>
      <c r="DQ34" s="38">
        <v>1500</v>
      </c>
      <c r="DR34" s="38">
        <v>1</v>
      </c>
      <c r="DS34" s="45">
        <f>DR34*DQ34*DP34/1000000</f>
        <v>1.8</v>
      </c>
      <c r="DU34" s="43"/>
      <c r="DV34" s="38"/>
      <c r="DW34" s="44">
        <v>1200</v>
      </c>
      <c r="DX34" s="38">
        <v>1500</v>
      </c>
      <c r="DY34" s="38">
        <v>1</v>
      </c>
      <c r="DZ34" s="45">
        <f>DY34*DX34*DW34/1000000</f>
        <v>1.8</v>
      </c>
    </row>
    <row r="35" spans="2:130" ht="14.25">
      <c r="B35" s="43"/>
      <c r="C35" s="38"/>
      <c r="D35" s="44"/>
      <c r="E35" s="38"/>
      <c r="F35" s="38"/>
      <c r="G35" s="46">
        <f>G33/F4</f>
        <v>0.5910296321918598</v>
      </c>
      <c r="I35" s="43"/>
      <c r="J35" s="38"/>
      <c r="K35" s="44"/>
      <c r="L35" s="38"/>
      <c r="M35" s="38"/>
      <c r="N35" s="46">
        <f>N33/M4</f>
        <v>0.5921325051759835</v>
      </c>
      <c r="P35" s="43"/>
      <c r="Q35" s="38"/>
      <c r="R35" s="44"/>
      <c r="S35" s="38"/>
      <c r="T35" s="38"/>
      <c r="U35" s="46">
        <f>U33/T4</f>
        <v>0.4590690208667737</v>
      </c>
      <c r="W35" s="43"/>
      <c r="X35" s="38"/>
      <c r="Y35" s="44"/>
      <c r="Z35" s="38"/>
      <c r="AA35" s="38"/>
      <c r="AB35" s="46">
        <f>AB33/AA4</f>
        <v>0.41269841269841273</v>
      </c>
      <c r="AD35" s="43"/>
      <c r="AE35" s="38"/>
      <c r="AF35" s="44"/>
      <c r="AG35" s="38"/>
      <c r="AH35" s="38"/>
      <c r="AI35" s="46">
        <f>(AI33+AI34)/AH4</f>
        <v>0.6628896083285724</v>
      </c>
      <c r="AK35" s="43"/>
      <c r="AL35" s="38"/>
      <c r="AM35" s="44"/>
      <c r="AN35" s="38"/>
      <c r="AO35" s="38"/>
      <c r="AP35" s="46">
        <f>(AP33+AP34)/AO4</f>
        <v>0.6628896083285724</v>
      </c>
      <c r="AW35" s="43"/>
      <c r="AX35" s="38"/>
      <c r="AY35" s="44"/>
      <c r="AZ35" s="38"/>
      <c r="BA35" s="38"/>
      <c r="BB35" s="46">
        <f>(BB33+BB34)/BA4</f>
        <v>0.6542094121478587</v>
      </c>
      <c r="BJ35" s="43"/>
      <c r="BK35" s="38"/>
      <c r="BL35" s="44"/>
      <c r="BM35" s="38"/>
      <c r="BN35" s="38"/>
      <c r="BO35" s="46">
        <f>(BO33+BO34)/BN4</f>
        <v>0.6542094121478587</v>
      </c>
      <c r="BQ35" s="43"/>
      <c r="BR35" s="38"/>
      <c r="BS35" s="44"/>
      <c r="BT35" s="38"/>
      <c r="BU35" s="38"/>
      <c r="BV35" s="46">
        <f>(BV33+BV34)/BU4</f>
        <v>0.5269313163992481</v>
      </c>
      <c r="BX35" s="43"/>
      <c r="BY35" s="38"/>
      <c r="BZ35" s="44"/>
      <c r="CA35" s="38"/>
      <c r="CB35" s="38"/>
      <c r="CC35" s="46">
        <f>(CC33+CC34)/CB4</f>
        <v>0.5071960611033961</v>
      </c>
      <c r="CE35" s="43"/>
      <c r="CF35" s="38"/>
      <c r="CG35" s="44"/>
      <c r="CH35" s="38"/>
      <c r="CI35" s="38"/>
      <c r="CJ35" s="46">
        <f>(CJ33+CJ34)/CI4</f>
        <v>0.5071960611033961</v>
      </c>
      <c r="CL35" s="43"/>
      <c r="CM35" s="38"/>
      <c r="CN35" s="44"/>
      <c r="CO35" s="38"/>
      <c r="CP35" s="38"/>
      <c r="CQ35" s="46">
        <f>(CQ33+CQ34)/CP4</f>
        <v>0.4559641357394167</v>
      </c>
      <c r="CS35" s="43"/>
      <c r="CT35" s="38"/>
      <c r="CU35" s="44"/>
      <c r="CV35" s="38"/>
      <c r="CW35" s="38"/>
      <c r="CX35" s="46">
        <f>(CX33+CX34)/CW4</f>
        <v>0.5203105766499385</v>
      </c>
      <c r="CZ35" s="43"/>
      <c r="DA35" s="38"/>
      <c r="DB35" s="44"/>
      <c r="DC35" s="38"/>
      <c r="DD35" s="38"/>
      <c r="DE35" s="46">
        <f>(DE33+DE34)/DD4</f>
        <v>0.5203105766499385</v>
      </c>
      <c r="DG35" s="43"/>
      <c r="DH35" s="38"/>
      <c r="DI35" s="44"/>
      <c r="DJ35" s="38"/>
      <c r="DK35" s="38"/>
      <c r="DL35" s="46">
        <f>(DL33+DL34)/DK4</f>
        <v>0.5203105766499385</v>
      </c>
      <c r="DN35" s="43"/>
      <c r="DO35" s="38"/>
      <c r="DP35" s="44"/>
      <c r="DQ35" s="38"/>
      <c r="DR35" s="38"/>
      <c r="DS35" s="46">
        <f>(DS33+DS34)/DR4</f>
        <v>0.49348230912476726</v>
      </c>
      <c r="DU35" s="43"/>
      <c r="DV35" s="38"/>
      <c r="DW35" s="44"/>
      <c r="DX35" s="38"/>
      <c r="DY35" s="38"/>
      <c r="DZ35" s="46">
        <f>(DZ33+DZ34)/DY4</f>
        <v>0.39747407777753624</v>
      </c>
    </row>
    <row r="36" spans="2:130" ht="14.25">
      <c r="B36" s="36">
        <v>4</v>
      </c>
      <c r="C36" s="42" t="s">
        <v>270</v>
      </c>
      <c r="D36" s="6"/>
      <c r="E36" s="6"/>
      <c r="F36" s="6"/>
      <c r="G36" s="6"/>
      <c r="I36" s="36">
        <v>4</v>
      </c>
      <c r="J36" s="42" t="s">
        <v>270</v>
      </c>
      <c r="K36" s="6"/>
      <c r="L36" s="6"/>
      <c r="M36" s="6"/>
      <c r="N36" s="6"/>
      <c r="P36" s="36">
        <v>4</v>
      </c>
      <c r="Q36" s="42" t="s">
        <v>270</v>
      </c>
      <c r="R36" s="6"/>
      <c r="S36" s="6"/>
      <c r="T36" s="6"/>
      <c r="U36" s="6"/>
      <c r="W36" s="36">
        <v>4</v>
      </c>
      <c r="X36" s="42" t="s">
        <v>270</v>
      </c>
      <c r="Y36" s="6"/>
      <c r="Z36" s="6"/>
      <c r="AA36" s="6"/>
      <c r="AB36" s="6"/>
      <c r="AD36" s="36">
        <v>4</v>
      </c>
      <c r="AE36" s="42" t="s">
        <v>270</v>
      </c>
      <c r="AF36" s="6"/>
      <c r="AG36" s="6"/>
      <c r="AH36" s="6"/>
      <c r="AI36" s="6"/>
      <c r="AK36" s="36">
        <v>4</v>
      </c>
      <c r="AL36" s="42" t="s">
        <v>270</v>
      </c>
      <c r="AM36" s="6"/>
      <c r="AN36" s="6"/>
      <c r="AO36" s="6"/>
      <c r="AP36" s="6"/>
      <c r="AW36" s="36">
        <v>4</v>
      </c>
      <c r="AX36" s="42" t="s">
        <v>270</v>
      </c>
      <c r="AY36" s="6"/>
      <c r="AZ36" s="6"/>
      <c r="BA36" s="6"/>
      <c r="BB36" s="6"/>
      <c r="BJ36" s="36">
        <v>4</v>
      </c>
      <c r="BK36" s="42" t="s">
        <v>270</v>
      </c>
      <c r="BL36" s="6"/>
      <c r="BM36" s="6"/>
      <c r="BN36" s="6"/>
      <c r="BO36" s="6"/>
      <c r="BQ36" s="36">
        <v>4</v>
      </c>
      <c r="BR36" s="42" t="s">
        <v>270</v>
      </c>
      <c r="BS36" s="6"/>
      <c r="BT36" s="6"/>
      <c r="BU36" s="6"/>
      <c r="BV36" s="6"/>
      <c r="BX36" s="36">
        <v>4</v>
      </c>
      <c r="BY36" s="42" t="s">
        <v>270</v>
      </c>
      <c r="BZ36" s="6"/>
      <c r="CA36" s="6"/>
      <c r="CB36" s="6"/>
      <c r="CC36" s="6"/>
      <c r="CE36" s="36">
        <v>4</v>
      </c>
      <c r="CF36" s="42" t="s">
        <v>270</v>
      </c>
      <c r="CG36" s="6"/>
      <c r="CH36" s="6"/>
      <c r="CI36" s="6"/>
      <c r="CJ36" s="6"/>
      <c r="CL36" s="36">
        <v>4</v>
      </c>
      <c r="CM36" s="42" t="s">
        <v>270</v>
      </c>
      <c r="CN36" s="6"/>
      <c r="CO36" s="6"/>
      <c r="CP36" s="6"/>
      <c r="CQ36" s="6"/>
      <c r="CS36" s="36">
        <v>4</v>
      </c>
      <c r="CT36" s="42" t="s">
        <v>270</v>
      </c>
      <c r="CU36" s="6"/>
      <c r="CV36" s="6"/>
      <c r="CW36" s="6"/>
      <c r="CX36" s="6"/>
      <c r="CZ36" s="36">
        <v>4</v>
      </c>
      <c r="DA36" s="42" t="s">
        <v>270</v>
      </c>
      <c r="DB36" s="6"/>
      <c r="DC36" s="6"/>
      <c r="DD36" s="6"/>
      <c r="DE36" s="6"/>
      <c r="DG36" s="36">
        <v>4</v>
      </c>
      <c r="DH36" s="42" t="s">
        <v>270</v>
      </c>
      <c r="DI36" s="6"/>
      <c r="DJ36" s="6"/>
      <c r="DK36" s="6"/>
      <c r="DL36" s="6"/>
      <c r="DN36" s="36">
        <v>4</v>
      </c>
      <c r="DO36" s="42" t="s">
        <v>270</v>
      </c>
      <c r="DP36" s="6"/>
      <c r="DQ36" s="6"/>
      <c r="DR36" s="6"/>
      <c r="DS36" s="6"/>
      <c r="DU36" s="36">
        <v>4</v>
      </c>
      <c r="DV36" s="42" t="s">
        <v>270</v>
      </c>
      <c r="DW36" s="6"/>
      <c r="DX36" s="6"/>
      <c r="DY36" s="6"/>
      <c r="DZ36" s="6"/>
    </row>
    <row r="37" spans="2:130" ht="14.25">
      <c r="B37" s="29" t="s">
        <v>1</v>
      </c>
      <c r="C37" s="29" t="s">
        <v>244</v>
      </c>
      <c r="D37" s="29" t="s">
        <v>160</v>
      </c>
      <c r="E37" s="29" t="s">
        <v>271</v>
      </c>
      <c r="F37" s="29" t="s">
        <v>266</v>
      </c>
      <c r="G37" s="29"/>
      <c r="I37" s="29" t="s">
        <v>1</v>
      </c>
      <c r="J37" s="29" t="s">
        <v>244</v>
      </c>
      <c r="K37" s="29" t="s">
        <v>160</v>
      </c>
      <c r="L37" s="29" t="s">
        <v>271</v>
      </c>
      <c r="M37" s="29" t="s">
        <v>266</v>
      </c>
      <c r="N37" s="29"/>
      <c r="P37" s="29" t="s">
        <v>1</v>
      </c>
      <c r="Q37" s="29" t="s">
        <v>244</v>
      </c>
      <c r="R37" s="29" t="s">
        <v>160</v>
      </c>
      <c r="S37" s="29" t="s">
        <v>271</v>
      </c>
      <c r="T37" s="29" t="s">
        <v>266</v>
      </c>
      <c r="U37" s="29"/>
      <c r="W37" s="29" t="s">
        <v>1</v>
      </c>
      <c r="X37" s="29" t="s">
        <v>244</v>
      </c>
      <c r="Y37" s="29" t="s">
        <v>160</v>
      </c>
      <c r="Z37" s="29" t="s">
        <v>271</v>
      </c>
      <c r="AA37" s="29" t="s">
        <v>266</v>
      </c>
      <c r="AB37" s="29"/>
      <c r="AD37" s="29" t="s">
        <v>1</v>
      </c>
      <c r="AE37" s="29" t="s">
        <v>244</v>
      </c>
      <c r="AF37" s="29" t="s">
        <v>160</v>
      </c>
      <c r="AG37" s="29" t="s">
        <v>271</v>
      </c>
      <c r="AH37" s="29" t="s">
        <v>266</v>
      </c>
      <c r="AI37" s="29"/>
      <c r="AK37" s="29" t="s">
        <v>1</v>
      </c>
      <c r="AL37" s="29" t="s">
        <v>244</v>
      </c>
      <c r="AM37" s="29" t="s">
        <v>160</v>
      </c>
      <c r="AN37" s="29" t="s">
        <v>271</v>
      </c>
      <c r="AO37" s="29" t="s">
        <v>266</v>
      </c>
      <c r="AP37" s="29"/>
      <c r="AW37" s="29" t="s">
        <v>1</v>
      </c>
      <c r="AX37" s="29" t="s">
        <v>244</v>
      </c>
      <c r="AY37" s="29" t="s">
        <v>160</v>
      </c>
      <c r="AZ37" s="29" t="s">
        <v>271</v>
      </c>
      <c r="BA37" s="29" t="s">
        <v>266</v>
      </c>
      <c r="BB37" s="29"/>
      <c r="BJ37" s="29" t="s">
        <v>1</v>
      </c>
      <c r="BK37" s="29" t="s">
        <v>244</v>
      </c>
      <c r="BL37" s="29" t="s">
        <v>160</v>
      </c>
      <c r="BM37" s="29" t="s">
        <v>271</v>
      </c>
      <c r="BN37" s="29" t="s">
        <v>266</v>
      </c>
      <c r="BO37" s="29"/>
      <c r="BQ37" s="29" t="s">
        <v>1</v>
      </c>
      <c r="BR37" s="29" t="s">
        <v>244</v>
      </c>
      <c r="BS37" s="29" t="s">
        <v>160</v>
      </c>
      <c r="BT37" s="29" t="s">
        <v>271</v>
      </c>
      <c r="BU37" s="29" t="s">
        <v>266</v>
      </c>
      <c r="BV37" s="29"/>
      <c r="BX37" s="29" t="s">
        <v>1</v>
      </c>
      <c r="BY37" s="29" t="s">
        <v>244</v>
      </c>
      <c r="BZ37" s="29" t="s">
        <v>160</v>
      </c>
      <c r="CA37" s="29" t="s">
        <v>271</v>
      </c>
      <c r="CB37" s="29" t="s">
        <v>266</v>
      </c>
      <c r="CC37" s="29"/>
      <c r="CE37" s="29" t="s">
        <v>1</v>
      </c>
      <c r="CF37" s="29" t="s">
        <v>244</v>
      </c>
      <c r="CG37" s="29" t="s">
        <v>160</v>
      </c>
      <c r="CH37" s="29" t="s">
        <v>271</v>
      </c>
      <c r="CI37" s="29" t="s">
        <v>266</v>
      </c>
      <c r="CJ37" s="29"/>
      <c r="CL37" s="29" t="s">
        <v>1</v>
      </c>
      <c r="CM37" s="29" t="s">
        <v>244</v>
      </c>
      <c r="CN37" s="29" t="s">
        <v>160</v>
      </c>
      <c r="CO37" s="29" t="s">
        <v>271</v>
      </c>
      <c r="CP37" s="29" t="s">
        <v>266</v>
      </c>
      <c r="CQ37" s="29"/>
      <c r="CS37" s="29" t="s">
        <v>1</v>
      </c>
      <c r="CT37" s="29" t="s">
        <v>244</v>
      </c>
      <c r="CU37" s="29" t="s">
        <v>160</v>
      </c>
      <c r="CV37" s="29" t="s">
        <v>271</v>
      </c>
      <c r="CW37" s="29" t="s">
        <v>266</v>
      </c>
      <c r="CX37" s="29"/>
      <c r="CZ37" s="29" t="s">
        <v>1</v>
      </c>
      <c r="DA37" s="29" t="s">
        <v>244</v>
      </c>
      <c r="DB37" s="29" t="s">
        <v>160</v>
      </c>
      <c r="DC37" s="29" t="s">
        <v>271</v>
      </c>
      <c r="DD37" s="29" t="s">
        <v>266</v>
      </c>
      <c r="DE37" s="29"/>
      <c r="DG37" s="29" t="s">
        <v>1</v>
      </c>
      <c r="DH37" s="29" t="s">
        <v>244</v>
      </c>
      <c r="DI37" s="29" t="s">
        <v>160</v>
      </c>
      <c r="DJ37" s="29" t="s">
        <v>271</v>
      </c>
      <c r="DK37" s="29" t="s">
        <v>266</v>
      </c>
      <c r="DL37" s="29"/>
      <c r="DN37" s="29" t="s">
        <v>1</v>
      </c>
      <c r="DO37" s="29" t="s">
        <v>244</v>
      </c>
      <c r="DP37" s="29" t="s">
        <v>160</v>
      </c>
      <c r="DQ37" s="29" t="s">
        <v>271</v>
      </c>
      <c r="DR37" s="29" t="s">
        <v>266</v>
      </c>
      <c r="DS37" s="29"/>
      <c r="DU37" s="29" t="s">
        <v>1</v>
      </c>
      <c r="DV37" s="29" t="s">
        <v>244</v>
      </c>
      <c r="DW37" s="29" t="s">
        <v>160</v>
      </c>
      <c r="DX37" s="29" t="s">
        <v>271</v>
      </c>
      <c r="DY37" s="29" t="s">
        <v>266</v>
      </c>
      <c r="DZ37" s="29"/>
    </row>
    <row r="38" spans="2:130" ht="14.25">
      <c r="B38" s="38">
        <v>1</v>
      </c>
      <c r="C38" s="29" t="s">
        <v>272</v>
      </c>
      <c r="D38" s="38">
        <v>1</v>
      </c>
      <c r="E38" s="29">
        <v>6</v>
      </c>
      <c r="F38" s="29">
        <f>E38*D38</f>
        <v>6</v>
      </c>
      <c r="G38" s="38"/>
      <c r="I38" s="38">
        <v>1</v>
      </c>
      <c r="J38" s="29" t="s">
        <v>272</v>
      </c>
      <c r="K38" s="38">
        <v>1</v>
      </c>
      <c r="L38" s="29">
        <v>6</v>
      </c>
      <c r="M38" s="29">
        <f>L38*K38</f>
        <v>6</v>
      </c>
      <c r="N38" s="38"/>
      <c r="P38" s="38">
        <v>1</v>
      </c>
      <c r="Q38" s="29" t="s">
        <v>272</v>
      </c>
      <c r="R38" s="38">
        <v>1</v>
      </c>
      <c r="S38" s="29">
        <v>6</v>
      </c>
      <c r="T38" s="29">
        <f>S38*R38</f>
        <v>6</v>
      </c>
      <c r="U38" s="38"/>
      <c r="W38" s="38">
        <v>1</v>
      </c>
      <c r="X38" s="29" t="s">
        <v>272</v>
      </c>
      <c r="Y38" s="38">
        <v>1</v>
      </c>
      <c r="Z38" s="29">
        <v>6</v>
      </c>
      <c r="AA38" s="29">
        <f>Z38*Y38</f>
        <v>6</v>
      </c>
      <c r="AB38" s="38"/>
      <c r="AD38" s="38">
        <v>1</v>
      </c>
      <c r="AE38" s="29" t="s">
        <v>272</v>
      </c>
      <c r="AF38" s="38">
        <v>1</v>
      </c>
      <c r="AG38" s="29">
        <v>6</v>
      </c>
      <c r="AH38" s="29">
        <f>AG38*AF38</f>
        <v>6</v>
      </c>
      <c r="AI38" s="38"/>
      <c r="AK38" s="38">
        <v>1</v>
      </c>
      <c r="AL38" s="29" t="s">
        <v>272</v>
      </c>
      <c r="AM38" s="38">
        <v>1</v>
      </c>
      <c r="AN38" s="29">
        <v>6</v>
      </c>
      <c r="AO38" s="29">
        <f>AN38*AM38</f>
        <v>6</v>
      </c>
      <c r="AP38" s="38"/>
      <c r="AW38" s="38">
        <v>1</v>
      </c>
      <c r="AX38" s="29" t="s">
        <v>272</v>
      </c>
      <c r="AY38" s="38">
        <v>1</v>
      </c>
      <c r="AZ38" s="29">
        <v>6</v>
      </c>
      <c r="BA38" s="29">
        <f>AZ38*AY38</f>
        <v>6</v>
      </c>
      <c r="BB38" s="38"/>
      <c r="BJ38" s="38">
        <v>1</v>
      </c>
      <c r="BK38" s="29" t="s">
        <v>272</v>
      </c>
      <c r="BL38" s="38">
        <v>1</v>
      </c>
      <c r="BM38" s="29">
        <v>6</v>
      </c>
      <c r="BN38" s="29">
        <f>BM38*BL38</f>
        <v>6</v>
      </c>
      <c r="BO38" s="38"/>
      <c r="BQ38" s="38">
        <v>1</v>
      </c>
      <c r="BR38" s="29" t="s">
        <v>272</v>
      </c>
      <c r="BS38" s="38">
        <v>1</v>
      </c>
      <c r="BT38" s="29">
        <v>6</v>
      </c>
      <c r="BU38" s="29">
        <f>BT38*BS38</f>
        <v>6</v>
      </c>
      <c r="BV38" s="38"/>
      <c r="BX38" s="38">
        <v>1</v>
      </c>
      <c r="BY38" s="29" t="s">
        <v>272</v>
      </c>
      <c r="BZ38" s="38">
        <v>1</v>
      </c>
      <c r="CA38" s="29">
        <v>6</v>
      </c>
      <c r="CB38" s="29">
        <f>CA38*BZ38</f>
        <v>6</v>
      </c>
      <c r="CC38" s="38"/>
      <c r="CE38" s="38">
        <v>1</v>
      </c>
      <c r="CF38" s="29" t="s">
        <v>272</v>
      </c>
      <c r="CG38" s="38">
        <v>1</v>
      </c>
      <c r="CH38" s="29">
        <v>6</v>
      </c>
      <c r="CI38" s="29">
        <f>CH38*CG38</f>
        <v>6</v>
      </c>
      <c r="CJ38" s="38"/>
      <c r="CL38" s="38">
        <v>1</v>
      </c>
      <c r="CM38" s="29" t="s">
        <v>272</v>
      </c>
      <c r="CN38" s="38">
        <v>1</v>
      </c>
      <c r="CO38" s="29">
        <v>6</v>
      </c>
      <c r="CP38" s="29">
        <f>CO38*CN38</f>
        <v>6</v>
      </c>
      <c r="CQ38" s="38"/>
      <c r="CS38" s="38">
        <v>1</v>
      </c>
      <c r="CT38" s="29" t="s">
        <v>272</v>
      </c>
      <c r="CU38" s="38">
        <v>2</v>
      </c>
      <c r="CV38" s="29">
        <v>6</v>
      </c>
      <c r="CW38" s="29">
        <f>CV38*CU38</f>
        <v>12</v>
      </c>
      <c r="CX38" s="38"/>
      <c r="CZ38" s="38">
        <v>1</v>
      </c>
      <c r="DA38" s="29" t="s">
        <v>272</v>
      </c>
      <c r="DB38" s="38">
        <v>2</v>
      </c>
      <c r="DC38" s="29">
        <v>6</v>
      </c>
      <c r="DD38" s="29">
        <f>DC38*DB38</f>
        <v>12</v>
      </c>
      <c r="DE38" s="38"/>
      <c r="DG38" s="38">
        <v>1</v>
      </c>
      <c r="DH38" s="29" t="s">
        <v>272</v>
      </c>
      <c r="DI38" s="38">
        <v>2</v>
      </c>
      <c r="DJ38" s="29">
        <v>6</v>
      </c>
      <c r="DK38" s="29">
        <f>DJ38*DI38</f>
        <v>12</v>
      </c>
      <c r="DL38" s="38"/>
      <c r="DN38" s="38">
        <v>1</v>
      </c>
      <c r="DO38" s="29" t="s">
        <v>272</v>
      </c>
      <c r="DP38" s="38">
        <v>2</v>
      </c>
      <c r="DQ38" s="29">
        <v>6</v>
      </c>
      <c r="DR38" s="29">
        <f>DQ38*DP38</f>
        <v>12</v>
      </c>
      <c r="DS38" s="38"/>
      <c r="DU38" s="38">
        <v>1</v>
      </c>
      <c r="DV38" s="29" t="s">
        <v>272</v>
      </c>
      <c r="DW38" s="38">
        <v>2</v>
      </c>
      <c r="DX38" s="29">
        <v>6</v>
      </c>
      <c r="DY38" s="29">
        <f>DX38*DW38</f>
        <v>12</v>
      </c>
      <c r="DZ38" s="38"/>
    </row>
    <row r="39" spans="2:130" ht="14.25">
      <c r="B39" s="38">
        <v>2</v>
      </c>
      <c r="C39" s="29" t="s">
        <v>273</v>
      </c>
      <c r="D39" s="38">
        <v>4</v>
      </c>
      <c r="E39" s="29">
        <v>3.5</v>
      </c>
      <c r="F39" s="29">
        <f>E39*D39</f>
        <v>14</v>
      </c>
      <c r="G39" s="38"/>
      <c r="I39" s="38">
        <v>2</v>
      </c>
      <c r="J39" s="29" t="s">
        <v>273</v>
      </c>
      <c r="K39" s="38">
        <v>4</v>
      </c>
      <c r="L39" s="29">
        <v>3.5</v>
      </c>
      <c r="M39" s="29">
        <f>L39*K39</f>
        <v>14</v>
      </c>
      <c r="N39" s="38"/>
      <c r="P39" s="38">
        <v>2</v>
      </c>
      <c r="Q39" s="29" t="s">
        <v>273</v>
      </c>
      <c r="R39" s="38">
        <v>4</v>
      </c>
      <c r="S39" s="29">
        <v>3.5</v>
      </c>
      <c r="T39" s="29">
        <f>S39*R39</f>
        <v>14</v>
      </c>
      <c r="U39" s="38"/>
      <c r="W39" s="38">
        <v>2</v>
      </c>
      <c r="X39" s="29" t="s">
        <v>273</v>
      </c>
      <c r="Y39" s="38">
        <v>4</v>
      </c>
      <c r="Z39" s="29">
        <v>3.5</v>
      </c>
      <c r="AA39" s="29">
        <f>Z39*Y39</f>
        <v>14</v>
      </c>
      <c r="AB39" s="38"/>
      <c r="AD39" s="38">
        <v>2</v>
      </c>
      <c r="AE39" s="29" t="s">
        <v>273</v>
      </c>
      <c r="AF39" s="38">
        <v>4</v>
      </c>
      <c r="AG39" s="29">
        <v>3.5</v>
      </c>
      <c r="AH39" s="29">
        <f>AG39*AF39</f>
        <v>14</v>
      </c>
      <c r="AI39" s="38"/>
      <c r="AK39" s="38">
        <v>2</v>
      </c>
      <c r="AL39" s="29" t="s">
        <v>273</v>
      </c>
      <c r="AM39" s="38">
        <v>4</v>
      </c>
      <c r="AN39" s="29">
        <v>3.5</v>
      </c>
      <c r="AO39" s="29">
        <f>AN39*AM39</f>
        <v>14</v>
      </c>
      <c r="AP39" s="38"/>
      <c r="AW39" s="38">
        <v>2</v>
      </c>
      <c r="AX39" s="29" t="s">
        <v>273</v>
      </c>
      <c r="AY39" s="38">
        <v>4</v>
      </c>
      <c r="AZ39" s="29">
        <v>3.5</v>
      </c>
      <c r="BA39" s="29">
        <f>AZ39*AY39</f>
        <v>14</v>
      </c>
      <c r="BB39" s="38"/>
      <c r="BJ39" s="38">
        <v>2</v>
      </c>
      <c r="BK39" s="29" t="s">
        <v>273</v>
      </c>
      <c r="BL39" s="38">
        <v>4</v>
      </c>
      <c r="BM39" s="29">
        <v>3.5</v>
      </c>
      <c r="BN39" s="29">
        <f>BM39*BL39</f>
        <v>14</v>
      </c>
      <c r="BO39" s="38"/>
      <c r="BQ39" s="38">
        <v>2</v>
      </c>
      <c r="BR39" s="29" t="s">
        <v>273</v>
      </c>
      <c r="BS39" s="38">
        <v>4</v>
      </c>
      <c r="BT39" s="29">
        <v>3.5</v>
      </c>
      <c r="BU39" s="29">
        <f>BT39*BS39</f>
        <v>14</v>
      </c>
      <c r="BV39" s="38"/>
      <c r="BX39" s="38">
        <v>2</v>
      </c>
      <c r="BY39" s="29" t="s">
        <v>273</v>
      </c>
      <c r="BZ39" s="38">
        <v>4</v>
      </c>
      <c r="CA39" s="29">
        <v>3.5</v>
      </c>
      <c r="CB39" s="29">
        <f>CA39*BZ39</f>
        <v>14</v>
      </c>
      <c r="CC39" s="38"/>
      <c r="CE39" s="38">
        <v>2</v>
      </c>
      <c r="CF39" s="29" t="s">
        <v>273</v>
      </c>
      <c r="CG39" s="38">
        <v>4</v>
      </c>
      <c r="CH39" s="29">
        <v>3.5</v>
      </c>
      <c r="CI39" s="29">
        <f>CH39*CG39</f>
        <v>14</v>
      </c>
      <c r="CJ39" s="38"/>
      <c r="CL39" s="38">
        <v>2</v>
      </c>
      <c r="CM39" s="29" t="s">
        <v>273</v>
      </c>
      <c r="CN39" s="38">
        <v>4</v>
      </c>
      <c r="CO39" s="29">
        <v>3.5</v>
      </c>
      <c r="CP39" s="29">
        <f>CO39*CN39</f>
        <v>14</v>
      </c>
      <c r="CQ39" s="38"/>
      <c r="CS39" s="38">
        <v>2</v>
      </c>
      <c r="CT39" s="29" t="s">
        <v>273</v>
      </c>
      <c r="CU39" s="38">
        <v>8</v>
      </c>
      <c r="CV39" s="29">
        <v>3.5</v>
      </c>
      <c r="CW39" s="29">
        <f>CV39*CU39</f>
        <v>28</v>
      </c>
      <c r="CX39" s="38"/>
      <c r="CZ39" s="38">
        <v>2</v>
      </c>
      <c r="DA39" s="29" t="s">
        <v>273</v>
      </c>
      <c r="DB39" s="38">
        <v>8</v>
      </c>
      <c r="DC39" s="29">
        <v>3.5</v>
      </c>
      <c r="DD39" s="29">
        <f>DC39*DB39</f>
        <v>28</v>
      </c>
      <c r="DE39" s="38"/>
      <c r="DG39" s="38">
        <v>2</v>
      </c>
      <c r="DH39" s="29" t="s">
        <v>273</v>
      </c>
      <c r="DI39" s="38">
        <v>8</v>
      </c>
      <c r="DJ39" s="29">
        <v>3.5</v>
      </c>
      <c r="DK39" s="29">
        <f>DJ39*DI39</f>
        <v>28</v>
      </c>
      <c r="DL39" s="38"/>
      <c r="DN39" s="38">
        <v>2</v>
      </c>
      <c r="DO39" s="29" t="s">
        <v>273</v>
      </c>
      <c r="DP39" s="38">
        <v>8</v>
      </c>
      <c r="DQ39" s="29">
        <v>3.5</v>
      </c>
      <c r="DR39" s="29">
        <f>DQ39*DP39</f>
        <v>28</v>
      </c>
      <c r="DS39" s="38"/>
      <c r="DU39" s="38">
        <v>2</v>
      </c>
      <c r="DV39" s="29" t="s">
        <v>273</v>
      </c>
      <c r="DW39" s="38">
        <v>8</v>
      </c>
      <c r="DX39" s="29">
        <v>3.5</v>
      </c>
      <c r="DY39" s="29">
        <f>DX39*DW39</f>
        <v>28</v>
      </c>
      <c r="DZ39" s="38"/>
    </row>
    <row r="40" spans="2:130" ht="14.25">
      <c r="B40" s="38">
        <v>3</v>
      </c>
      <c r="C40" s="29" t="s">
        <v>266</v>
      </c>
      <c r="D40" s="38"/>
      <c r="E40" s="38"/>
      <c r="F40" s="38">
        <f>SUM(F38:F39)</f>
        <v>20</v>
      </c>
      <c r="G40" s="38"/>
      <c r="I40" s="38">
        <v>3</v>
      </c>
      <c r="J40" s="29" t="s">
        <v>266</v>
      </c>
      <c r="K40" s="38"/>
      <c r="L40" s="38"/>
      <c r="M40" s="38">
        <f>SUM(M38:M39)</f>
        <v>20</v>
      </c>
      <c r="N40" s="38"/>
      <c r="P40" s="38">
        <v>3</v>
      </c>
      <c r="Q40" s="29" t="s">
        <v>266</v>
      </c>
      <c r="R40" s="38"/>
      <c r="S40" s="38"/>
      <c r="T40" s="38">
        <f>SUM(T38:T39)</f>
        <v>20</v>
      </c>
      <c r="U40" s="38"/>
      <c r="W40" s="38">
        <v>3</v>
      </c>
      <c r="X40" s="29" t="s">
        <v>266</v>
      </c>
      <c r="Y40" s="38"/>
      <c r="Z40" s="38"/>
      <c r="AA40" s="38">
        <f>SUM(AA38:AA39)</f>
        <v>20</v>
      </c>
      <c r="AB40" s="38"/>
      <c r="AD40" s="38">
        <v>3</v>
      </c>
      <c r="AE40" s="29" t="s">
        <v>266</v>
      </c>
      <c r="AF40" s="38"/>
      <c r="AG40" s="38"/>
      <c r="AH40" s="38">
        <f>SUM(AH38:AH39)</f>
        <v>20</v>
      </c>
      <c r="AI40" s="38"/>
      <c r="AK40" s="38">
        <v>3</v>
      </c>
      <c r="AL40" s="29" t="s">
        <v>266</v>
      </c>
      <c r="AM40" s="38"/>
      <c r="AN40" s="38"/>
      <c r="AO40" s="38">
        <f>SUM(AO38:AO39)</f>
        <v>20</v>
      </c>
      <c r="AP40" s="38"/>
      <c r="AW40" s="38">
        <v>3</v>
      </c>
      <c r="AX40" s="29" t="s">
        <v>266</v>
      </c>
      <c r="AY40" s="38"/>
      <c r="AZ40" s="38"/>
      <c r="BA40" s="38">
        <f>SUM(BA38:BA39)</f>
        <v>20</v>
      </c>
      <c r="BB40" s="38"/>
      <c r="BJ40" s="38">
        <v>3</v>
      </c>
      <c r="BK40" s="29" t="s">
        <v>266</v>
      </c>
      <c r="BL40" s="38"/>
      <c r="BM40" s="38"/>
      <c r="BN40" s="38">
        <f>SUM(BN38:BN39)</f>
        <v>20</v>
      </c>
      <c r="BO40" s="38"/>
      <c r="BQ40" s="38">
        <v>3</v>
      </c>
      <c r="BR40" s="29" t="s">
        <v>266</v>
      </c>
      <c r="BS40" s="38"/>
      <c r="BT40" s="38"/>
      <c r="BU40" s="38">
        <f>SUM(BU38:BU39)</f>
        <v>20</v>
      </c>
      <c r="BV40" s="38"/>
      <c r="BX40" s="38">
        <v>3</v>
      </c>
      <c r="BY40" s="29" t="s">
        <v>266</v>
      </c>
      <c r="BZ40" s="38"/>
      <c r="CA40" s="38"/>
      <c r="CB40" s="38">
        <f>SUM(CB38:CB39)</f>
        <v>20</v>
      </c>
      <c r="CC40" s="38"/>
      <c r="CE40" s="38">
        <v>3</v>
      </c>
      <c r="CF40" s="29" t="s">
        <v>266</v>
      </c>
      <c r="CG40" s="38"/>
      <c r="CH40" s="38"/>
      <c r="CI40" s="38">
        <f>SUM(CI38:CI39)</f>
        <v>20</v>
      </c>
      <c r="CJ40" s="38"/>
      <c r="CL40" s="38">
        <v>3</v>
      </c>
      <c r="CM40" s="29" t="s">
        <v>266</v>
      </c>
      <c r="CN40" s="38"/>
      <c r="CO40" s="38"/>
      <c r="CP40" s="38">
        <f>SUM(CP38:CP39)</f>
        <v>20</v>
      </c>
      <c r="CQ40" s="38"/>
      <c r="CS40" s="38">
        <v>3</v>
      </c>
      <c r="CT40" s="29" t="s">
        <v>266</v>
      </c>
      <c r="CU40" s="38"/>
      <c r="CV40" s="38"/>
      <c r="CW40" s="38">
        <f>SUM(CW38:CW39)</f>
        <v>40</v>
      </c>
      <c r="CX40" s="38"/>
      <c r="CZ40" s="38">
        <v>3</v>
      </c>
      <c r="DA40" s="29" t="s">
        <v>266</v>
      </c>
      <c r="DB40" s="38"/>
      <c r="DC40" s="38"/>
      <c r="DD40" s="38">
        <f>SUM(DD38:DD39)</f>
        <v>40</v>
      </c>
      <c r="DE40" s="38"/>
      <c r="DG40" s="38">
        <v>3</v>
      </c>
      <c r="DH40" s="29" t="s">
        <v>266</v>
      </c>
      <c r="DI40" s="38"/>
      <c r="DJ40" s="38"/>
      <c r="DK40" s="38">
        <f>SUM(DK38:DK39)</f>
        <v>40</v>
      </c>
      <c r="DL40" s="38"/>
      <c r="DN40" s="38">
        <v>3</v>
      </c>
      <c r="DO40" s="29" t="s">
        <v>266</v>
      </c>
      <c r="DP40" s="38"/>
      <c r="DQ40" s="38"/>
      <c r="DR40" s="38">
        <f>SUM(DR38:DR39)</f>
        <v>40</v>
      </c>
      <c r="DS40" s="38"/>
      <c r="DU40" s="38">
        <v>3</v>
      </c>
      <c r="DV40" s="29" t="s">
        <v>266</v>
      </c>
      <c r="DW40" s="38"/>
      <c r="DX40" s="38"/>
      <c r="DY40" s="38">
        <f>SUM(DY38:DY39)</f>
        <v>40</v>
      </c>
      <c r="DZ40" s="38"/>
    </row>
    <row r="41" spans="2:130" ht="14.25">
      <c r="B41" s="38"/>
      <c r="C41" s="29" t="s">
        <v>274</v>
      </c>
      <c r="D41" s="38"/>
      <c r="E41" s="38"/>
      <c r="F41" s="46">
        <f>F40/F4</f>
        <v>7.686690495407202</v>
      </c>
      <c r="G41" s="38"/>
      <c r="I41" s="38"/>
      <c r="J41" s="29" t="s">
        <v>274</v>
      </c>
      <c r="K41" s="38"/>
      <c r="L41" s="38"/>
      <c r="M41" s="46">
        <f>M40/M4</f>
        <v>6.572677380130797</v>
      </c>
      <c r="N41" s="38"/>
      <c r="P41" s="38"/>
      <c r="Q41" s="29" t="s">
        <v>274</v>
      </c>
      <c r="R41" s="38"/>
      <c r="S41" s="38"/>
      <c r="T41" s="46">
        <f>T40/T4</f>
        <v>5.095671227292415</v>
      </c>
      <c r="U41" s="38"/>
      <c r="W41" s="38"/>
      <c r="X41" s="29" t="s">
        <v>274</v>
      </c>
      <c r="Y41" s="38"/>
      <c r="Z41" s="38"/>
      <c r="AA41" s="46">
        <f>AA40/AA4</f>
        <v>4.580956961909343</v>
      </c>
      <c r="AB41" s="38"/>
      <c r="AD41" s="38"/>
      <c r="AE41" s="29" t="s">
        <v>274</v>
      </c>
      <c r="AF41" s="38"/>
      <c r="AG41" s="38"/>
      <c r="AH41" s="46">
        <f>AH40/AH4</f>
        <v>4.231998137920819</v>
      </c>
      <c r="AI41" s="38"/>
      <c r="AK41" s="38"/>
      <c r="AL41" s="29" t="s">
        <v>274</v>
      </c>
      <c r="AM41" s="38"/>
      <c r="AN41" s="38"/>
      <c r="AO41" s="46">
        <f>AO40/AO4</f>
        <v>4.231998137920819</v>
      </c>
      <c r="AP41" s="38"/>
      <c r="AW41" s="38"/>
      <c r="AX41" s="29" t="s">
        <v>274</v>
      </c>
      <c r="AY41" s="38"/>
      <c r="AZ41" s="38"/>
      <c r="BA41" s="46">
        <f>BA40/BA4</f>
        <v>3.6186650744540336</v>
      </c>
      <c r="BB41" s="38"/>
      <c r="BJ41" s="38"/>
      <c r="BK41" s="29" t="s">
        <v>274</v>
      </c>
      <c r="BL41" s="38"/>
      <c r="BM41" s="38"/>
      <c r="BN41" s="46">
        <f>BN40/BN4</f>
        <v>3.6186650744540336</v>
      </c>
      <c r="BO41" s="38"/>
      <c r="BQ41" s="38"/>
      <c r="BR41" s="29" t="s">
        <v>274</v>
      </c>
      <c r="BS41" s="38"/>
      <c r="BT41" s="38"/>
      <c r="BU41" s="46">
        <f>BU40/BU4</f>
        <v>2.914644631953249</v>
      </c>
      <c r="BV41" s="38"/>
      <c r="BX41" s="38"/>
      <c r="BY41" s="29" t="s">
        <v>274</v>
      </c>
      <c r="BZ41" s="38"/>
      <c r="CA41" s="38"/>
      <c r="CB41" s="46">
        <f>CB40/CB4</f>
        <v>2.8054819116553746</v>
      </c>
      <c r="CC41" s="38"/>
      <c r="CE41" s="38"/>
      <c r="CF41" s="29" t="s">
        <v>274</v>
      </c>
      <c r="CG41" s="38"/>
      <c r="CH41" s="38"/>
      <c r="CI41" s="46">
        <f>CI40/CI4</f>
        <v>2.8054819116553746</v>
      </c>
      <c r="CJ41" s="38"/>
      <c r="CL41" s="38"/>
      <c r="CM41" s="29" t="s">
        <v>274</v>
      </c>
      <c r="CN41" s="38"/>
      <c r="CO41" s="38"/>
      <c r="CP41" s="46">
        <f>CP40/CP4</f>
        <v>2.522099900377054</v>
      </c>
      <c r="CQ41" s="38"/>
      <c r="CS41" s="38"/>
      <c r="CT41" s="29" t="s">
        <v>274</v>
      </c>
      <c r="CU41" s="38"/>
      <c r="CV41" s="38"/>
      <c r="CW41" s="46">
        <f>CW40/CW4</f>
        <v>4.2083556902229375</v>
      </c>
      <c r="CX41" s="38"/>
      <c r="CZ41" s="38"/>
      <c r="DA41" s="29" t="s">
        <v>274</v>
      </c>
      <c r="DB41" s="38"/>
      <c r="DC41" s="38"/>
      <c r="DD41" s="46">
        <f>DD40/DD4</f>
        <v>4.2083556902229375</v>
      </c>
      <c r="DE41" s="38"/>
      <c r="DG41" s="38"/>
      <c r="DH41" s="29" t="s">
        <v>274</v>
      </c>
      <c r="DI41" s="38"/>
      <c r="DJ41" s="38"/>
      <c r="DK41" s="46">
        <f>DK40/DK4</f>
        <v>4.2083556902229375</v>
      </c>
      <c r="DL41" s="38"/>
      <c r="DN41" s="38"/>
      <c r="DO41" s="29" t="s">
        <v>274</v>
      </c>
      <c r="DP41" s="38"/>
      <c r="DQ41" s="38"/>
      <c r="DR41" s="46">
        <f>DR40/DR4</f>
        <v>3.5984490684514974</v>
      </c>
      <c r="DS41" s="38"/>
      <c r="DU41" s="38"/>
      <c r="DV41" s="29" t="s">
        <v>274</v>
      </c>
      <c r="DW41" s="38"/>
      <c r="DX41" s="38"/>
      <c r="DY41" s="46">
        <f>DY40/DY4</f>
        <v>2.8983617010484823</v>
      </c>
      <c r="DZ41" s="38"/>
    </row>
    <row r="42" spans="2:130" ht="14.25">
      <c r="B42" s="6"/>
      <c r="C42" s="6"/>
      <c r="D42" s="6"/>
      <c r="E42" s="6"/>
      <c r="F42" s="6"/>
      <c r="G42" s="6"/>
      <c r="I42" s="6"/>
      <c r="J42" s="6"/>
      <c r="K42" s="6"/>
      <c r="L42" s="6"/>
      <c r="M42" s="6"/>
      <c r="N42" s="6"/>
      <c r="P42" s="6"/>
      <c r="Q42" s="6"/>
      <c r="R42" s="6"/>
      <c r="S42" s="6"/>
      <c r="T42" s="6"/>
      <c r="U42" s="6"/>
      <c r="W42" s="6"/>
      <c r="X42" s="6"/>
      <c r="Y42" s="6"/>
      <c r="Z42" s="6"/>
      <c r="AA42" s="6"/>
      <c r="AB42" s="6"/>
      <c r="AD42" s="6"/>
      <c r="AE42" s="6"/>
      <c r="AF42" s="6"/>
      <c r="AG42" s="6"/>
      <c r="AH42" s="6"/>
      <c r="AI42" s="6"/>
      <c r="AK42" s="6"/>
      <c r="AL42" s="6"/>
      <c r="AM42" s="6"/>
      <c r="AN42" s="6"/>
      <c r="AO42" s="6"/>
      <c r="AP42" s="6"/>
      <c r="AW42" s="6"/>
      <c r="AX42" s="6"/>
      <c r="AY42" s="6"/>
      <c r="AZ42" s="6"/>
      <c r="BA42" s="6"/>
      <c r="BB42" s="6"/>
      <c r="BJ42" s="6"/>
      <c r="BK42" s="6"/>
      <c r="BL42" s="6"/>
      <c r="BM42" s="6"/>
      <c r="BN42" s="6"/>
      <c r="BO42" s="6"/>
      <c r="BQ42" s="6"/>
      <c r="BR42" s="6"/>
      <c r="BS42" s="6"/>
      <c r="BT42" s="6"/>
      <c r="BU42" s="6"/>
      <c r="BV42" s="6"/>
      <c r="BX42" s="6"/>
      <c r="BY42" s="6"/>
      <c r="BZ42" s="6"/>
      <c r="CA42" s="6"/>
      <c r="CB42" s="6"/>
      <c r="CC42" s="6"/>
      <c r="CE42" s="6"/>
      <c r="CF42" s="6"/>
      <c r="CG42" s="6"/>
      <c r="CH42" s="6"/>
      <c r="CI42" s="6"/>
      <c r="CJ42" s="6"/>
      <c r="CL42" s="6"/>
      <c r="CM42" s="6"/>
      <c r="CN42" s="6"/>
      <c r="CO42" s="6"/>
      <c r="CP42" s="6"/>
      <c r="CQ42" s="6"/>
      <c r="CS42" s="6"/>
      <c r="CT42" s="6"/>
      <c r="CU42" s="6"/>
      <c r="CV42" s="6"/>
      <c r="CW42" s="6"/>
      <c r="CX42" s="6"/>
      <c r="CZ42" s="6"/>
      <c r="DA42" s="6"/>
      <c r="DB42" s="6"/>
      <c r="DC42" s="6"/>
      <c r="DD42" s="6"/>
      <c r="DE42" s="6"/>
      <c r="DG42" s="6"/>
      <c r="DH42" s="6"/>
      <c r="DI42" s="6"/>
      <c r="DJ42" s="6"/>
      <c r="DK42" s="6"/>
      <c r="DL42" s="6"/>
      <c r="DN42" s="6"/>
      <c r="DO42" s="6"/>
      <c r="DP42" s="6"/>
      <c r="DQ42" s="6"/>
      <c r="DR42" s="6"/>
      <c r="DS42" s="6"/>
      <c r="DU42" s="6"/>
      <c r="DV42" s="6"/>
      <c r="DW42" s="6"/>
      <c r="DX42" s="6"/>
      <c r="DY42" s="6"/>
      <c r="DZ42" s="6"/>
    </row>
    <row r="43" spans="2:130" ht="14.25">
      <c r="B43" s="36">
        <v>5</v>
      </c>
      <c r="C43" s="42" t="s">
        <v>275</v>
      </c>
      <c r="D43" s="6"/>
      <c r="E43" s="6"/>
      <c r="F43" s="6"/>
      <c r="G43" s="6"/>
      <c r="I43" s="36">
        <v>5</v>
      </c>
      <c r="J43" s="42" t="s">
        <v>275</v>
      </c>
      <c r="K43" s="6"/>
      <c r="L43" s="6"/>
      <c r="M43" s="6"/>
      <c r="N43" s="6"/>
      <c r="P43" s="36">
        <v>5</v>
      </c>
      <c r="Q43" s="42" t="s">
        <v>275</v>
      </c>
      <c r="R43" s="6"/>
      <c r="S43" s="6"/>
      <c r="T43" s="6"/>
      <c r="U43" s="6"/>
      <c r="W43" s="36">
        <v>5</v>
      </c>
      <c r="X43" s="42" t="s">
        <v>275</v>
      </c>
      <c r="Y43" s="6"/>
      <c r="Z43" s="6"/>
      <c r="AA43" s="6"/>
      <c r="AB43" s="6"/>
      <c r="AD43" s="36">
        <v>5</v>
      </c>
      <c r="AE43" s="42" t="s">
        <v>275</v>
      </c>
      <c r="AF43" s="6"/>
      <c r="AG43" s="6"/>
      <c r="AH43" s="6"/>
      <c r="AI43" s="6"/>
      <c r="AK43" s="36">
        <v>5</v>
      </c>
      <c r="AL43" s="42" t="s">
        <v>275</v>
      </c>
      <c r="AM43" s="6"/>
      <c r="AN43" s="6"/>
      <c r="AO43" s="6"/>
      <c r="AP43" s="6"/>
      <c r="AW43" s="36">
        <v>5</v>
      </c>
      <c r="AX43" s="42" t="s">
        <v>275</v>
      </c>
      <c r="AY43" s="6"/>
      <c r="AZ43" s="6"/>
      <c r="BA43" s="6"/>
      <c r="BB43" s="6"/>
      <c r="BJ43" s="36">
        <v>5</v>
      </c>
      <c r="BK43" s="42" t="s">
        <v>275</v>
      </c>
      <c r="BL43" s="6"/>
      <c r="BM43" s="6"/>
      <c r="BN43" s="6"/>
      <c r="BO43" s="6"/>
      <c r="BQ43" s="36">
        <v>5</v>
      </c>
      <c r="BR43" s="42" t="s">
        <v>275</v>
      </c>
      <c r="BS43" s="6"/>
      <c r="BT43" s="6"/>
      <c r="BU43" s="6"/>
      <c r="BV43" s="6"/>
      <c r="BX43" s="36">
        <v>5</v>
      </c>
      <c r="BY43" s="42" t="s">
        <v>275</v>
      </c>
      <c r="BZ43" s="6"/>
      <c r="CA43" s="6"/>
      <c r="CB43" s="6"/>
      <c r="CC43" s="6"/>
      <c r="CE43" s="36">
        <v>5</v>
      </c>
      <c r="CF43" s="42" t="s">
        <v>275</v>
      </c>
      <c r="CG43" s="6"/>
      <c r="CH43" s="6"/>
      <c r="CI43" s="6"/>
      <c r="CJ43" s="6"/>
      <c r="CL43" s="36">
        <v>5</v>
      </c>
      <c r="CM43" s="42" t="s">
        <v>275</v>
      </c>
      <c r="CN43" s="6"/>
      <c r="CO43" s="6"/>
      <c r="CP43" s="6"/>
      <c r="CQ43" s="6"/>
      <c r="CS43" s="36">
        <v>5</v>
      </c>
      <c r="CT43" s="42" t="s">
        <v>275</v>
      </c>
      <c r="CU43" s="6"/>
      <c r="CV43" s="6"/>
      <c r="CW43" s="6"/>
      <c r="CX43" s="6"/>
      <c r="CZ43" s="36">
        <v>5</v>
      </c>
      <c r="DA43" s="42" t="s">
        <v>275</v>
      </c>
      <c r="DB43" s="6"/>
      <c r="DC43" s="6"/>
      <c r="DD43" s="6"/>
      <c r="DE43" s="6"/>
      <c r="DG43" s="36">
        <v>5</v>
      </c>
      <c r="DH43" s="42" t="s">
        <v>275</v>
      </c>
      <c r="DI43" s="6"/>
      <c r="DJ43" s="6"/>
      <c r="DK43" s="6"/>
      <c r="DL43" s="6"/>
      <c r="DN43" s="36">
        <v>5</v>
      </c>
      <c r="DO43" s="42" t="s">
        <v>275</v>
      </c>
      <c r="DP43" s="6"/>
      <c r="DQ43" s="6"/>
      <c r="DR43" s="6"/>
      <c r="DS43" s="6"/>
      <c r="DU43" s="36">
        <v>5</v>
      </c>
      <c r="DV43" s="42" t="s">
        <v>275</v>
      </c>
      <c r="DW43" s="6"/>
      <c r="DX43" s="6"/>
      <c r="DY43" s="6"/>
      <c r="DZ43" s="6"/>
    </row>
    <row r="44" spans="2:130" ht="14.25">
      <c r="B44" s="6"/>
      <c r="C44" s="47"/>
      <c r="D44" s="6"/>
      <c r="E44" s="6"/>
      <c r="F44" s="6"/>
      <c r="G44" s="6"/>
      <c r="I44" s="6"/>
      <c r="J44" s="47"/>
      <c r="K44" s="6"/>
      <c r="L44" s="6"/>
      <c r="M44" s="6"/>
      <c r="N44" s="6"/>
      <c r="P44" s="6"/>
      <c r="Q44" s="47"/>
      <c r="R44" s="6"/>
      <c r="S44" s="6"/>
      <c r="T44" s="6"/>
      <c r="U44" s="6"/>
      <c r="W44" s="6"/>
      <c r="X44" s="47"/>
      <c r="Y44" s="6"/>
      <c r="Z44" s="6"/>
      <c r="AA44" s="6"/>
      <c r="AB44" s="6"/>
      <c r="AD44" s="6"/>
      <c r="AE44" s="47"/>
      <c r="AF44" s="6"/>
      <c r="AG44" s="6"/>
      <c r="AH44" s="6"/>
      <c r="AI44" s="6"/>
      <c r="AK44" s="6"/>
      <c r="AL44" s="47"/>
      <c r="AM44" s="6"/>
      <c r="AN44" s="6"/>
      <c r="AO44" s="6"/>
      <c r="AP44" s="6"/>
      <c r="AW44" s="6"/>
      <c r="AX44" s="47"/>
      <c r="AY44" s="6"/>
      <c r="AZ44" s="6"/>
      <c r="BA44" s="6"/>
      <c r="BB44" s="6"/>
      <c r="BJ44" s="6"/>
      <c r="BK44" s="47"/>
      <c r="BL44" s="6"/>
      <c r="BM44" s="6"/>
      <c r="BN44" s="6"/>
      <c r="BO44" s="6"/>
      <c r="BQ44" s="6"/>
      <c r="BR44" s="47"/>
      <c r="BS44" s="6"/>
      <c r="BT44" s="6"/>
      <c r="BU44" s="6"/>
      <c r="BV44" s="6"/>
      <c r="BX44" s="6"/>
      <c r="BY44" s="47"/>
      <c r="BZ44" s="6"/>
      <c r="CA44" s="6"/>
      <c r="CB44" s="6"/>
      <c r="CC44" s="6"/>
      <c r="CE44" s="6"/>
      <c r="CF44" s="47"/>
      <c r="CG44" s="6"/>
      <c r="CH44" s="6"/>
      <c r="CI44" s="6"/>
      <c r="CJ44" s="6"/>
      <c r="CL44" s="6"/>
      <c r="CM44" s="47"/>
      <c r="CN44" s="6"/>
      <c r="CO44" s="6"/>
      <c r="CP44" s="6"/>
      <c r="CQ44" s="6"/>
      <c r="CS44" s="6"/>
      <c r="CT44" s="47"/>
      <c r="CU44" s="6"/>
      <c r="CV44" s="6"/>
      <c r="CW44" s="6"/>
      <c r="CX44" s="6"/>
      <c r="CZ44" s="6"/>
      <c r="DA44" s="47"/>
      <c r="DB44" s="6"/>
      <c r="DC44" s="6"/>
      <c r="DD44" s="6"/>
      <c r="DE44" s="6"/>
      <c r="DG44" s="6"/>
      <c r="DH44" s="47"/>
      <c r="DI44" s="6"/>
      <c r="DJ44" s="6"/>
      <c r="DK44" s="6"/>
      <c r="DL44" s="6"/>
      <c r="DN44" s="6"/>
      <c r="DO44" s="47"/>
      <c r="DP44" s="6"/>
      <c r="DQ44" s="6"/>
      <c r="DR44" s="6"/>
      <c r="DS44" s="6"/>
      <c r="DU44" s="6"/>
      <c r="DV44" s="47"/>
      <c r="DW44" s="6"/>
      <c r="DX44" s="6"/>
      <c r="DY44" s="6"/>
      <c r="DZ44" s="6"/>
    </row>
    <row r="45" spans="2:130" ht="14.25">
      <c r="B45" s="29" t="s">
        <v>1</v>
      </c>
      <c r="C45" s="29" t="s">
        <v>244</v>
      </c>
      <c r="D45" s="29" t="s">
        <v>160</v>
      </c>
      <c r="E45" s="29" t="s">
        <v>271</v>
      </c>
      <c r="F45" s="29" t="s">
        <v>276</v>
      </c>
      <c r="G45" s="29" t="s">
        <v>13</v>
      </c>
      <c r="I45" s="29" t="s">
        <v>1</v>
      </c>
      <c r="J45" s="29" t="s">
        <v>244</v>
      </c>
      <c r="K45" s="29" t="s">
        <v>160</v>
      </c>
      <c r="L45" s="29" t="s">
        <v>271</v>
      </c>
      <c r="M45" s="29" t="s">
        <v>276</v>
      </c>
      <c r="N45" s="29" t="s">
        <v>13</v>
      </c>
      <c r="P45" s="29" t="s">
        <v>1</v>
      </c>
      <c r="Q45" s="29" t="s">
        <v>244</v>
      </c>
      <c r="R45" s="29" t="s">
        <v>160</v>
      </c>
      <c r="S45" s="29" t="s">
        <v>271</v>
      </c>
      <c r="T45" s="29" t="s">
        <v>276</v>
      </c>
      <c r="U45" s="29" t="s">
        <v>13</v>
      </c>
      <c r="W45" s="29" t="s">
        <v>1</v>
      </c>
      <c r="X45" s="29" t="s">
        <v>244</v>
      </c>
      <c r="Y45" s="29" t="s">
        <v>160</v>
      </c>
      <c r="Z45" s="29" t="s">
        <v>271</v>
      </c>
      <c r="AA45" s="29" t="s">
        <v>276</v>
      </c>
      <c r="AB45" s="29" t="s">
        <v>13</v>
      </c>
      <c r="AD45" s="29" t="s">
        <v>1</v>
      </c>
      <c r="AE45" s="29" t="s">
        <v>244</v>
      </c>
      <c r="AF45" s="29" t="s">
        <v>160</v>
      </c>
      <c r="AG45" s="29" t="s">
        <v>271</v>
      </c>
      <c r="AH45" s="29" t="s">
        <v>276</v>
      </c>
      <c r="AI45" s="29" t="s">
        <v>13</v>
      </c>
      <c r="AK45" s="29" t="s">
        <v>1</v>
      </c>
      <c r="AL45" s="29" t="s">
        <v>244</v>
      </c>
      <c r="AM45" s="29" t="s">
        <v>160</v>
      </c>
      <c r="AN45" s="29" t="s">
        <v>271</v>
      </c>
      <c r="AO45" s="29" t="s">
        <v>276</v>
      </c>
      <c r="AP45" s="29" t="s">
        <v>13</v>
      </c>
      <c r="AW45" s="29" t="s">
        <v>1</v>
      </c>
      <c r="AX45" s="29" t="s">
        <v>244</v>
      </c>
      <c r="AY45" s="29" t="s">
        <v>160</v>
      </c>
      <c r="AZ45" s="29" t="s">
        <v>271</v>
      </c>
      <c r="BA45" s="29" t="s">
        <v>276</v>
      </c>
      <c r="BB45" s="29" t="s">
        <v>13</v>
      </c>
      <c r="BJ45" s="29" t="s">
        <v>1</v>
      </c>
      <c r="BK45" s="29" t="s">
        <v>244</v>
      </c>
      <c r="BL45" s="29" t="s">
        <v>160</v>
      </c>
      <c r="BM45" s="29" t="s">
        <v>271</v>
      </c>
      <c r="BN45" s="29" t="s">
        <v>276</v>
      </c>
      <c r="BO45" s="29" t="s">
        <v>13</v>
      </c>
      <c r="BQ45" s="29" t="s">
        <v>1</v>
      </c>
      <c r="BR45" s="29" t="s">
        <v>244</v>
      </c>
      <c r="BS45" s="29" t="s">
        <v>160</v>
      </c>
      <c r="BT45" s="29" t="s">
        <v>271</v>
      </c>
      <c r="BU45" s="29" t="s">
        <v>276</v>
      </c>
      <c r="BV45" s="29" t="s">
        <v>13</v>
      </c>
      <c r="BX45" s="29" t="s">
        <v>1</v>
      </c>
      <c r="BY45" s="29" t="s">
        <v>244</v>
      </c>
      <c r="BZ45" s="29" t="s">
        <v>160</v>
      </c>
      <c r="CA45" s="29" t="s">
        <v>271</v>
      </c>
      <c r="CB45" s="29" t="s">
        <v>276</v>
      </c>
      <c r="CC45" s="29" t="s">
        <v>13</v>
      </c>
      <c r="CE45" s="29" t="s">
        <v>1</v>
      </c>
      <c r="CF45" s="29" t="s">
        <v>244</v>
      </c>
      <c r="CG45" s="29" t="s">
        <v>160</v>
      </c>
      <c r="CH45" s="29" t="s">
        <v>271</v>
      </c>
      <c r="CI45" s="29" t="s">
        <v>276</v>
      </c>
      <c r="CJ45" s="29" t="s">
        <v>13</v>
      </c>
      <c r="CL45" s="29" t="s">
        <v>1</v>
      </c>
      <c r="CM45" s="29" t="s">
        <v>244</v>
      </c>
      <c r="CN45" s="29" t="s">
        <v>160</v>
      </c>
      <c r="CO45" s="29" t="s">
        <v>271</v>
      </c>
      <c r="CP45" s="29" t="s">
        <v>276</v>
      </c>
      <c r="CQ45" s="29" t="s">
        <v>13</v>
      </c>
      <c r="CS45" s="29" t="s">
        <v>1</v>
      </c>
      <c r="CT45" s="29" t="s">
        <v>244</v>
      </c>
      <c r="CU45" s="29" t="s">
        <v>160</v>
      </c>
      <c r="CV45" s="29" t="s">
        <v>271</v>
      </c>
      <c r="CW45" s="29" t="s">
        <v>276</v>
      </c>
      <c r="CX45" s="29" t="s">
        <v>13</v>
      </c>
      <c r="CZ45" s="29" t="s">
        <v>1</v>
      </c>
      <c r="DA45" s="29" t="s">
        <v>244</v>
      </c>
      <c r="DB45" s="29" t="s">
        <v>160</v>
      </c>
      <c r="DC45" s="29" t="s">
        <v>271</v>
      </c>
      <c r="DD45" s="29" t="s">
        <v>276</v>
      </c>
      <c r="DE45" s="29" t="s">
        <v>13</v>
      </c>
      <c r="DG45" s="29" t="s">
        <v>1</v>
      </c>
      <c r="DH45" s="29" t="s">
        <v>244</v>
      </c>
      <c r="DI45" s="29" t="s">
        <v>160</v>
      </c>
      <c r="DJ45" s="29" t="s">
        <v>271</v>
      </c>
      <c r="DK45" s="29" t="s">
        <v>276</v>
      </c>
      <c r="DL45" s="29" t="s">
        <v>13</v>
      </c>
      <c r="DN45" s="29" t="s">
        <v>1</v>
      </c>
      <c r="DO45" s="29" t="s">
        <v>244</v>
      </c>
      <c r="DP45" s="29" t="s">
        <v>160</v>
      </c>
      <c r="DQ45" s="29" t="s">
        <v>271</v>
      </c>
      <c r="DR45" s="29" t="s">
        <v>276</v>
      </c>
      <c r="DS45" s="29" t="s">
        <v>13</v>
      </c>
      <c r="DU45" s="29" t="s">
        <v>1</v>
      </c>
      <c r="DV45" s="29" t="s">
        <v>244</v>
      </c>
      <c r="DW45" s="29" t="s">
        <v>160</v>
      </c>
      <c r="DX45" s="29" t="s">
        <v>271</v>
      </c>
      <c r="DY45" s="29" t="s">
        <v>276</v>
      </c>
      <c r="DZ45" s="29" t="s">
        <v>13</v>
      </c>
    </row>
    <row r="46" spans="2:130" ht="14.25">
      <c r="B46" s="29">
        <v>1</v>
      </c>
      <c r="C46" s="29" t="s">
        <v>243</v>
      </c>
      <c r="D46" s="30">
        <f>G30</f>
        <v>8.534241592682271</v>
      </c>
      <c r="E46" s="30">
        <f>18.4+5.3</f>
        <v>23.7</v>
      </c>
      <c r="F46" s="30">
        <f aca="true" t="shared" si="85" ref="F46:F53">E46*D46</f>
        <v>202.26152574656982</v>
      </c>
      <c r="G46" s="38"/>
      <c r="I46" s="29">
        <v>1</v>
      </c>
      <c r="J46" s="29" t="s">
        <v>243</v>
      </c>
      <c r="K46" s="30">
        <f>N30</f>
        <v>7.809085806303198</v>
      </c>
      <c r="L46" s="30">
        <f>18.4+5.3</f>
        <v>23.7</v>
      </c>
      <c r="M46" s="30">
        <f aca="true" t="shared" si="86" ref="M46:M53">L46*K46</f>
        <v>185.07533360938578</v>
      </c>
      <c r="N46" s="38"/>
      <c r="P46" s="29">
        <v>1</v>
      </c>
      <c r="Q46" s="29" t="s">
        <v>243</v>
      </c>
      <c r="R46" s="30">
        <f>U30</f>
        <v>6.849697877652933</v>
      </c>
      <c r="S46" s="30">
        <f>18.4+5.3</f>
        <v>23.7</v>
      </c>
      <c r="T46" s="30">
        <f aca="true" t="shared" si="87" ref="T46:T53">S46*R46</f>
        <v>162.3378397003745</v>
      </c>
      <c r="U46" s="38"/>
      <c r="W46" s="29">
        <v>1</v>
      </c>
      <c r="X46" s="29" t="s">
        <v>243</v>
      </c>
      <c r="Y46" s="30">
        <f>AB30</f>
        <v>6.515365720699054</v>
      </c>
      <c r="Z46" s="30">
        <f>18.4+5.3</f>
        <v>23.7</v>
      </c>
      <c r="AA46" s="30">
        <f aca="true" t="shared" si="88" ref="AA46:AA53">Z46*Y46</f>
        <v>154.41416758056758</v>
      </c>
      <c r="AB46" s="38"/>
      <c r="AD46" s="29">
        <v>1</v>
      </c>
      <c r="AE46" s="29" t="s">
        <v>243</v>
      </c>
      <c r="AF46" s="30">
        <f>AI30</f>
        <v>6.758602594214858</v>
      </c>
      <c r="AG46" s="30">
        <f>18.4+5.3</f>
        <v>23.7</v>
      </c>
      <c r="AH46" s="30">
        <f aca="true" t="shared" si="89" ref="AH46:AH53">AG46*AF46</f>
        <v>160.17888148289214</v>
      </c>
      <c r="AI46" s="38"/>
      <c r="AK46" s="29">
        <v>1</v>
      </c>
      <c r="AL46" s="29" t="s">
        <v>243</v>
      </c>
      <c r="AM46" s="30">
        <f>AP30</f>
        <v>9.341371590596502</v>
      </c>
      <c r="AN46" s="30">
        <f>18.4+5.3</f>
        <v>23.7</v>
      </c>
      <c r="AO46" s="30">
        <f aca="true" t="shared" si="90" ref="AO46:AO53">AN46*AM46</f>
        <v>221.39050669713708</v>
      </c>
      <c r="AP46" s="38"/>
      <c r="AW46" s="29">
        <v>1</v>
      </c>
      <c r="AX46" s="29" t="s">
        <v>243</v>
      </c>
      <c r="AY46" s="30">
        <f>BB30</f>
        <v>8.381407298847456</v>
      </c>
      <c r="AZ46" s="30">
        <f>18.4+5.3</f>
        <v>23.7</v>
      </c>
      <c r="BA46" s="30">
        <f aca="true" t="shared" si="91" ref="BA46:BA53">AZ46*AY46</f>
        <v>198.6393529826847</v>
      </c>
      <c r="BB46" s="38"/>
      <c r="BJ46" s="29">
        <v>1</v>
      </c>
      <c r="BK46" s="29" t="s">
        <v>243</v>
      </c>
      <c r="BL46" s="30">
        <f>BO30</f>
        <v>6.187521395357252</v>
      </c>
      <c r="BM46" s="30">
        <f>18.4+5.3</f>
        <v>23.7</v>
      </c>
      <c r="BN46" s="30">
        <f aca="true" t="shared" si="92" ref="BN46:BN53">BM46*BL46</f>
        <v>146.64425706996687</v>
      </c>
      <c r="BO46" s="38"/>
      <c r="BQ46" s="29">
        <v>1</v>
      </c>
      <c r="BR46" s="29" t="s">
        <v>243</v>
      </c>
      <c r="BS46" s="30">
        <f>BV30</f>
        <v>5.45566271732319</v>
      </c>
      <c r="BT46" s="30">
        <f>18.4+5.3</f>
        <v>23.7</v>
      </c>
      <c r="BU46" s="30">
        <f aca="true" t="shared" si="93" ref="BU46:BU53">BT46*BS46</f>
        <v>129.2992064005596</v>
      </c>
      <c r="BV46" s="38"/>
      <c r="BX46" s="29">
        <v>1</v>
      </c>
      <c r="BY46" s="29" t="s">
        <v>243</v>
      </c>
      <c r="BZ46" s="30">
        <f>CC30</f>
        <v>6.975292120804053</v>
      </c>
      <c r="CA46" s="30">
        <f>18.4+5.3</f>
        <v>23.7</v>
      </c>
      <c r="CB46" s="30">
        <f aca="true" t="shared" si="94" ref="CB46:CB53">CA46*BZ46</f>
        <v>165.31442326305603</v>
      </c>
      <c r="CC46" s="38"/>
      <c r="CE46" s="29">
        <v>1</v>
      </c>
      <c r="CF46" s="29" t="s">
        <v>243</v>
      </c>
      <c r="CG46" s="30">
        <f>CJ30</f>
        <v>5.34105401955421</v>
      </c>
      <c r="CH46" s="30">
        <f>18.4+5.3</f>
        <v>23.7</v>
      </c>
      <c r="CI46" s="30">
        <f aca="true" t="shared" si="95" ref="CI46:CI53">CH46*CG46</f>
        <v>126.58298026343478</v>
      </c>
      <c r="CJ46" s="38"/>
      <c r="CL46" s="29">
        <v>1</v>
      </c>
      <c r="CM46" s="29" t="s">
        <v>243</v>
      </c>
      <c r="CN46" s="30">
        <f>CQ30</f>
        <v>4.973838257733388</v>
      </c>
      <c r="CO46" s="30">
        <f>18.4+5.3</f>
        <v>23.7</v>
      </c>
      <c r="CP46" s="30">
        <f aca="true" t="shared" si="96" ref="CP46:CP53">CO46*CN46</f>
        <v>117.8799667082813</v>
      </c>
      <c r="CQ46" s="38"/>
      <c r="CS46" s="29">
        <v>1</v>
      </c>
      <c r="CT46" s="29" t="s">
        <v>243</v>
      </c>
      <c r="CU46" s="30">
        <f>CX30</f>
        <v>5.929686161874403</v>
      </c>
      <c r="CV46" s="30">
        <f>18.4+5.3</f>
        <v>23.7</v>
      </c>
      <c r="CW46" s="30">
        <f aca="true" t="shared" si="97" ref="CW46:CW53">CV46*CU46</f>
        <v>140.53356203642335</v>
      </c>
      <c r="CX46" s="38"/>
      <c r="CZ46" s="29">
        <v>1</v>
      </c>
      <c r="DA46" s="29" t="s">
        <v>243</v>
      </c>
      <c r="DB46" s="30">
        <f>DE30</f>
        <v>6.10744710622942</v>
      </c>
      <c r="DC46" s="30">
        <f>18.4+5.3</f>
        <v>23.7</v>
      </c>
      <c r="DD46" s="30">
        <f aca="true" t="shared" si="98" ref="DD46:DD53">DC46*DB46</f>
        <v>144.74649641763725</v>
      </c>
      <c r="DE46" s="38"/>
      <c r="DG46" s="29">
        <v>1</v>
      </c>
      <c r="DH46" s="29" t="s">
        <v>243</v>
      </c>
      <c r="DI46" s="30">
        <f>DL30</f>
        <v>8.591345376244535</v>
      </c>
      <c r="DJ46" s="30">
        <f>18.4+5.3</f>
        <v>23.7</v>
      </c>
      <c r="DK46" s="30">
        <f aca="true" t="shared" si="99" ref="DK46:DK53">DJ46*DI46</f>
        <v>203.61488541699546</v>
      </c>
      <c r="DL46" s="38"/>
      <c r="DN46" s="29">
        <v>1</v>
      </c>
      <c r="DO46" s="29" t="s">
        <v>243</v>
      </c>
      <c r="DP46" s="30">
        <f>DS30</f>
        <v>5.550575122122366</v>
      </c>
      <c r="DQ46" s="30">
        <f>18.4+5.3</f>
        <v>23.7</v>
      </c>
      <c r="DR46" s="30">
        <f aca="true" t="shared" si="100" ref="DR46:DR53">DQ46*DP46</f>
        <v>131.54863039430006</v>
      </c>
      <c r="DS46" s="38"/>
      <c r="DU46" s="29">
        <v>1</v>
      </c>
      <c r="DV46" s="29" t="s">
        <v>243</v>
      </c>
      <c r="DW46" s="30">
        <f>DZ30</f>
        <v>4.8319195124955625</v>
      </c>
      <c r="DX46" s="30">
        <f>18.4+5.3</f>
        <v>23.7</v>
      </c>
      <c r="DY46" s="30">
        <f aca="true" t="shared" si="101" ref="DY46:DY53">DX46*DW46</f>
        <v>114.51649244614482</v>
      </c>
      <c r="DZ46" s="38"/>
    </row>
    <row r="47" spans="2:130" ht="14.25">
      <c r="B47" s="48">
        <v>2</v>
      </c>
      <c r="C47" s="48" t="s">
        <v>277</v>
      </c>
      <c r="D47" s="28">
        <v>0.9</v>
      </c>
      <c r="E47" s="28">
        <v>30</v>
      </c>
      <c r="F47" s="28">
        <f t="shared" si="85"/>
        <v>27</v>
      </c>
      <c r="G47" s="38"/>
      <c r="I47" s="48">
        <v>2</v>
      </c>
      <c r="J47" s="48" t="s">
        <v>277</v>
      </c>
      <c r="K47" s="28">
        <v>0.9</v>
      </c>
      <c r="L47" s="28">
        <v>30</v>
      </c>
      <c r="M47" s="28">
        <f t="shared" si="86"/>
        <v>27</v>
      </c>
      <c r="N47" s="38"/>
      <c r="P47" s="48">
        <v>2</v>
      </c>
      <c r="Q47" s="48" t="s">
        <v>277</v>
      </c>
      <c r="R47" s="28">
        <v>0.9</v>
      </c>
      <c r="S47" s="28">
        <v>30</v>
      </c>
      <c r="T47" s="28">
        <f t="shared" si="87"/>
        <v>27</v>
      </c>
      <c r="U47" s="38"/>
      <c r="W47" s="48">
        <v>2</v>
      </c>
      <c r="X47" s="48" t="s">
        <v>277</v>
      </c>
      <c r="Y47" s="28">
        <v>0.9</v>
      </c>
      <c r="Z47" s="28">
        <v>30</v>
      </c>
      <c r="AA47" s="28">
        <f t="shared" si="88"/>
        <v>27</v>
      </c>
      <c r="AB47" s="38"/>
      <c r="AD47" s="48">
        <v>2</v>
      </c>
      <c r="AE47" s="48" t="s">
        <v>277</v>
      </c>
      <c r="AF47" s="28">
        <v>0.92</v>
      </c>
      <c r="AG47" s="28">
        <v>30</v>
      </c>
      <c r="AH47" s="28">
        <f t="shared" si="89"/>
        <v>27.6</v>
      </c>
      <c r="AI47" s="38"/>
      <c r="AK47" s="48">
        <v>2</v>
      </c>
      <c r="AL47" s="48" t="s">
        <v>277</v>
      </c>
      <c r="AM47" s="28">
        <v>0.7</v>
      </c>
      <c r="AN47" s="28">
        <v>30</v>
      </c>
      <c r="AO47" s="28">
        <f t="shared" si="90"/>
        <v>21</v>
      </c>
      <c r="AP47" s="38"/>
      <c r="AW47" s="48">
        <v>2</v>
      </c>
      <c r="AX47" s="48" t="s">
        <v>277</v>
      </c>
      <c r="AY47" s="28">
        <v>0.7</v>
      </c>
      <c r="AZ47" s="28">
        <v>30</v>
      </c>
      <c r="BA47" s="28">
        <f t="shared" si="91"/>
        <v>21</v>
      </c>
      <c r="BB47" s="38"/>
      <c r="BJ47" s="48">
        <v>2</v>
      </c>
      <c r="BK47" s="48" t="s">
        <v>277</v>
      </c>
      <c r="BL47" s="28">
        <v>0.92</v>
      </c>
      <c r="BM47" s="28">
        <v>30</v>
      </c>
      <c r="BN47" s="28">
        <f t="shared" si="92"/>
        <v>27.6</v>
      </c>
      <c r="BO47" s="38"/>
      <c r="BQ47" s="48">
        <v>2</v>
      </c>
      <c r="BR47" s="48" t="s">
        <v>277</v>
      </c>
      <c r="BS47" s="28">
        <v>0.92</v>
      </c>
      <c r="BT47" s="28">
        <v>30</v>
      </c>
      <c r="BU47" s="28">
        <f t="shared" si="93"/>
        <v>27.6</v>
      </c>
      <c r="BV47" s="38"/>
      <c r="BX47" s="48">
        <v>2</v>
      </c>
      <c r="BY47" s="48" t="s">
        <v>277</v>
      </c>
      <c r="BZ47" s="28">
        <v>0.7</v>
      </c>
      <c r="CA47" s="28">
        <v>30</v>
      </c>
      <c r="CB47" s="28">
        <f t="shared" si="94"/>
        <v>21</v>
      </c>
      <c r="CC47" s="38"/>
      <c r="CE47" s="48">
        <v>2</v>
      </c>
      <c r="CF47" s="48" t="s">
        <v>277</v>
      </c>
      <c r="CG47" s="28">
        <v>0.92</v>
      </c>
      <c r="CH47" s="28">
        <v>30</v>
      </c>
      <c r="CI47" s="28">
        <f t="shared" si="95"/>
        <v>27.6</v>
      </c>
      <c r="CJ47" s="38"/>
      <c r="CL47" s="48">
        <v>2</v>
      </c>
      <c r="CM47" s="48" t="s">
        <v>277</v>
      </c>
      <c r="CN47" s="28">
        <v>0.92</v>
      </c>
      <c r="CO47" s="28">
        <v>36</v>
      </c>
      <c r="CP47" s="28">
        <f t="shared" si="96"/>
        <v>33.120000000000005</v>
      </c>
      <c r="CQ47" s="38"/>
      <c r="CS47" s="48">
        <v>2</v>
      </c>
      <c r="CT47" s="48" t="s">
        <v>277</v>
      </c>
      <c r="CU47" s="28">
        <v>0.92</v>
      </c>
      <c r="CV47" s="28">
        <v>32</v>
      </c>
      <c r="CW47" s="28">
        <f t="shared" si="97"/>
        <v>29.44</v>
      </c>
      <c r="CX47" s="38"/>
      <c r="CZ47" s="48">
        <v>2</v>
      </c>
      <c r="DA47" s="48" t="s">
        <v>277</v>
      </c>
      <c r="DB47" s="28">
        <v>0.92</v>
      </c>
      <c r="DC47" s="28">
        <v>32</v>
      </c>
      <c r="DD47" s="28">
        <f t="shared" si="98"/>
        <v>29.44</v>
      </c>
      <c r="DE47" s="38"/>
      <c r="DG47" s="48">
        <v>2</v>
      </c>
      <c r="DH47" s="48" t="s">
        <v>277</v>
      </c>
      <c r="DI47" s="28">
        <v>0.7</v>
      </c>
      <c r="DJ47" s="28">
        <v>32</v>
      </c>
      <c r="DK47" s="28">
        <f t="shared" si="99"/>
        <v>22.4</v>
      </c>
      <c r="DL47" s="38"/>
      <c r="DN47" s="48">
        <v>2</v>
      </c>
      <c r="DO47" s="48" t="s">
        <v>277</v>
      </c>
      <c r="DP47" s="28">
        <v>0.92</v>
      </c>
      <c r="DQ47" s="28">
        <v>32</v>
      </c>
      <c r="DR47" s="28">
        <f t="shared" si="100"/>
        <v>29.44</v>
      </c>
      <c r="DS47" s="38"/>
      <c r="DU47" s="48">
        <v>2</v>
      </c>
      <c r="DV47" s="48" t="s">
        <v>277</v>
      </c>
      <c r="DW47" s="28">
        <v>0.92</v>
      </c>
      <c r="DX47" s="28">
        <v>32</v>
      </c>
      <c r="DY47" s="28">
        <f t="shared" si="101"/>
        <v>29.44</v>
      </c>
      <c r="DZ47" s="38"/>
    </row>
    <row r="48" spans="2:130" ht="14.25">
      <c r="B48" s="29">
        <v>3</v>
      </c>
      <c r="C48" s="29" t="s">
        <v>278</v>
      </c>
      <c r="D48" s="30">
        <f>(C4*2+D4*2)/1000</f>
        <v>6.48</v>
      </c>
      <c r="E48" s="30">
        <v>9.8</v>
      </c>
      <c r="F48" s="30"/>
      <c r="G48" s="38"/>
      <c r="I48" s="29">
        <v>3</v>
      </c>
      <c r="J48" s="29" t="s">
        <v>278</v>
      </c>
      <c r="K48" s="30">
        <f>(J4*2+K4*2)/1000</f>
        <v>7.08</v>
      </c>
      <c r="L48" s="30">
        <v>9.8</v>
      </c>
      <c r="M48" s="30"/>
      <c r="N48" s="38"/>
      <c r="P48" s="29">
        <v>3</v>
      </c>
      <c r="Q48" s="29" t="s">
        <v>278</v>
      </c>
      <c r="R48" s="30">
        <f>(Q4*2+R4*2)/1000</f>
        <v>8.28</v>
      </c>
      <c r="S48" s="30">
        <v>9.8</v>
      </c>
      <c r="T48" s="30"/>
      <c r="U48" s="38"/>
      <c r="W48" s="29">
        <v>3</v>
      </c>
      <c r="X48" s="29" t="s">
        <v>278</v>
      </c>
      <c r="Y48" s="30">
        <f>(X4*2+Y4*2)/1000</f>
        <v>8.88</v>
      </c>
      <c r="Z48" s="30">
        <v>9.8</v>
      </c>
      <c r="AA48" s="30"/>
      <c r="AB48" s="38"/>
      <c r="AD48" s="29">
        <v>3</v>
      </c>
      <c r="AE48" s="29" t="s">
        <v>278</v>
      </c>
      <c r="AF48" s="30">
        <f>(AE4*2+AF4*2)/1000</f>
        <v>8.88</v>
      </c>
      <c r="AG48" s="30">
        <v>9.8</v>
      </c>
      <c r="AH48" s="30"/>
      <c r="AI48" s="38"/>
      <c r="AK48" s="29">
        <v>3</v>
      </c>
      <c r="AL48" s="29" t="s">
        <v>278</v>
      </c>
      <c r="AM48" s="30">
        <f>(AL4*2+AM4*2)/1000</f>
        <v>8.88</v>
      </c>
      <c r="AN48" s="30">
        <v>9.8</v>
      </c>
      <c r="AO48" s="30"/>
      <c r="AP48" s="38"/>
      <c r="AW48" s="29">
        <v>3</v>
      </c>
      <c r="AX48" s="29" t="s">
        <v>278</v>
      </c>
      <c r="AY48" s="30">
        <f>(AX4*2+AY4*2)/1000</f>
        <v>9.48</v>
      </c>
      <c r="AZ48" s="30">
        <v>9.8</v>
      </c>
      <c r="BA48" s="30"/>
      <c r="BB48" s="38"/>
      <c r="BJ48" s="29">
        <v>3</v>
      </c>
      <c r="BK48" s="29" t="s">
        <v>278</v>
      </c>
      <c r="BL48" s="30">
        <f>(BK4*2+BL4*2)/1000</f>
        <v>9.48</v>
      </c>
      <c r="BM48" s="30">
        <v>9.8</v>
      </c>
      <c r="BN48" s="30"/>
      <c r="BO48" s="38"/>
      <c r="BQ48" s="29">
        <v>3</v>
      </c>
      <c r="BR48" s="29" t="s">
        <v>278</v>
      </c>
      <c r="BS48" s="30">
        <f>(BR4*2+BS4*2)/1000</f>
        <v>10.48</v>
      </c>
      <c r="BT48" s="30">
        <v>9.8</v>
      </c>
      <c r="BU48" s="30"/>
      <c r="BV48" s="38"/>
      <c r="BX48" s="29">
        <v>3</v>
      </c>
      <c r="BY48" s="29" t="s">
        <v>278</v>
      </c>
      <c r="BZ48" s="30">
        <f>(BY4*2+BZ4*2)/1000</f>
        <v>10.68</v>
      </c>
      <c r="CA48" s="30">
        <v>9.8</v>
      </c>
      <c r="CB48" s="30"/>
      <c r="CC48" s="38"/>
      <c r="CE48" s="29">
        <v>3</v>
      </c>
      <c r="CF48" s="29" t="s">
        <v>278</v>
      </c>
      <c r="CG48" s="30">
        <f>(CF4*2+CG4*2)/1000</f>
        <v>10.68</v>
      </c>
      <c r="CH48" s="30">
        <v>9.8</v>
      </c>
      <c r="CI48" s="30"/>
      <c r="CJ48" s="38"/>
      <c r="CL48" s="29">
        <v>3</v>
      </c>
      <c r="CM48" s="29" t="s">
        <v>278</v>
      </c>
      <c r="CN48" s="30">
        <f>(CM4*2+CN4*2)/1000</f>
        <v>11.28</v>
      </c>
      <c r="CO48" s="30">
        <v>9.8</v>
      </c>
      <c r="CP48" s="30"/>
      <c r="CQ48" s="38"/>
      <c r="CS48" s="29">
        <v>3</v>
      </c>
      <c r="CT48" s="29" t="s">
        <v>278</v>
      </c>
      <c r="CU48" s="30">
        <f>(CT4*2+CU4*2)/1000</f>
        <v>14.28</v>
      </c>
      <c r="CV48" s="30">
        <v>9.8</v>
      </c>
      <c r="CW48" s="30"/>
      <c r="CX48" s="38"/>
      <c r="CZ48" s="29">
        <v>3</v>
      </c>
      <c r="DA48" s="29" t="s">
        <v>278</v>
      </c>
      <c r="DB48" s="30">
        <f>(DA4*2+DB4*2)/1000</f>
        <v>14.28</v>
      </c>
      <c r="DC48" s="30">
        <v>9.8</v>
      </c>
      <c r="DD48" s="30"/>
      <c r="DE48" s="38"/>
      <c r="DG48" s="29">
        <v>3</v>
      </c>
      <c r="DH48" s="29" t="s">
        <v>278</v>
      </c>
      <c r="DI48" s="30">
        <f>(DH4*2+DI4*2)/1000</f>
        <v>14.28</v>
      </c>
      <c r="DJ48" s="30">
        <v>9.8</v>
      </c>
      <c r="DK48" s="30"/>
      <c r="DL48" s="38"/>
      <c r="DN48" s="29">
        <v>3</v>
      </c>
      <c r="DO48" s="29" t="s">
        <v>278</v>
      </c>
      <c r="DP48" s="30">
        <f>(DO4*2+DP4*2)/1000</f>
        <v>14.88</v>
      </c>
      <c r="DQ48" s="30">
        <v>9.8</v>
      </c>
      <c r="DR48" s="30"/>
      <c r="DS48" s="38"/>
      <c r="DU48" s="29">
        <v>3</v>
      </c>
      <c r="DV48" s="29" t="s">
        <v>278</v>
      </c>
      <c r="DW48" s="30">
        <f>(DV4*2+DW4*2)/1000</f>
        <v>15.88</v>
      </c>
      <c r="DX48" s="30">
        <v>9.8</v>
      </c>
      <c r="DY48" s="30"/>
      <c r="DZ48" s="38"/>
    </row>
    <row r="49" spans="2:130" ht="14.25">
      <c r="B49" s="29">
        <v>4</v>
      </c>
      <c r="C49" s="29" t="s">
        <v>279</v>
      </c>
      <c r="D49" s="30">
        <v>1</v>
      </c>
      <c r="E49" s="30">
        <v>16</v>
      </c>
      <c r="F49" s="30"/>
      <c r="G49" s="38"/>
      <c r="I49" s="29">
        <v>4</v>
      </c>
      <c r="J49" s="29" t="s">
        <v>279</v>
      </c>
      <c r="K49" s="30">
        <v>1</v>
      </c>
      <c r="L49" s="30">
        <v>16</v>
      </c>
      <c r="M49" s="30"/>
      <c r="N49" s="38"/>
      <c r="P49" s="29">
        <v>4</v>
      </c>
      <c r="Q49" s="29" t="s">
        <v>279</v>
      </c>
      <c r="R49" s="30">
        <v>1</v>
      </c>
      <c r="S49" s="30">
        <v>16</v>
      </c>
      <c r="T49" s="30"/>
      <c r="U49" s="38"/>
      <c r="W49" s="29">
        <v>4</v>
      </c>
      <c r="X49" s="29" t="s">
        <v>279</v>
      </c>
      <c r="Y49" s="30">
        <v>1</v>
      </c>
      <c r="Z49" s="30">
        <v>16</v>
      </c>
      <c r="AA49" s="30"/>
      <c r="AB49" s="38"/>
      <c r="AD49" s="29">
        <v>4</v>
      </c>
      <c r="AE49" s="29" t="s">
        <v>279</v>
      </c>
      <c r="AF49" s="30">
        <v>1</v>
      </c>
      <c r="AG49" s="30">
        <v>16</v>
      </c>
      <c r="AH49" s="30"/>
      <c r="AI49" s="38"/>
      <c r="AK49" s="29">
        <v>4</v>
      </c>
      <c r="AL49" s="29" t="s">
        <v>279</v>
      </c>
      <c r="AM49" s="30">
        <v>1</v>
      </c>
      <c r="AN49" s="30">
        <v>16</v>
      </c>
      <c r="AO49" s="30"/>
      <c r="AP49" s="38"/>
      <c r="AW49" s="29">
        <v>4</v>
      </c>
      <c r="AX49" s="29" t="s">
        <v>279</v>
      </c>
      <c r="AY49" s="30">
        <v>1</v>
      </c>
      <c r="AZ49" s="30">
        <v>16</v>
      </c>
      <c r="BA49" s="30"/>
      <c r="BB49" s="38"/>
      <c r="BJ49" s="29">
        <v>4</v>
      </c>
      <c r="BK49" s="29" t="s">
        <v>279</v>
      </c>
      <c r="BL49" s="30">
        <v>1</v>
      </c>
      <c r="BM49" s="30">
        <v>16</v>
      </c>
      <c r="BN49" s="30"/>
      <c r="BO49" s="38"/>
      <c r="BQ49" s="29">
        <v>4</v>
      </c>
      <c r="BR49" s="29" t="s">
        <v>279</v>
      </c>
      <c r="BS49" s="30">
        <v>1</v>
      </c>
      <c r="BT49" s="30">
        <v>16</v>
      </c>
      <c r="BU49" s="30"/>
      <c r="BV49" s="38"/>
      <c r="BX49" s="29">
        <v>4</v>
      </c>
      <c r="BY49" s="29" t="s">
        <v>279</v>
      </c>
      <c r="BZ49" s="30">
        <v>1</v>
      </c>
      <c r="CA49" s="30">
        <v>16</v>
      </c>
      <c r="CB49" s="30"/>
      <c r="CC49" s="38"/>
      <c r="CE49" s="29">
        <v>4</v>
      </c>
      <c r="CF49" s="29" t="s">
        <v>279</v>
      </c>
      <c r="CG49" s="30">
        <v>1</v>
      </c>
      <c r="CH49" s="30">
        <v>16</v>
      </c>
      <c r="CI49" s="30"/>
      <c r="CJ49" s="38"/>
      <c r="CL49" s="29">
        <v>4</v>
      </c>
      <c r="CM49" s="29" t="s">
        <v>279</v>
      </c>
      <c r="CN49" s="30">
        <v>1</v>
      </c>
      <c r="CO49" s="30">
        <v>16</v>
      </c>
      <c r="CP49" s="30"/>
      <c r="CQ49" s="38"/>
      <c r="CS49" s="29">
        <v>4</v>
      </c>
      <c r="CT49" s="29" t="s">
        <v>279</v>
      </c>
      <c r="CU49" s="30">
        <v>1</v>
      </c>
      <c r="CV49" s="30">
        <v>16</v>
      </c>
      <c r="CW49" s="30"/>
      <c r="CX49" s="38"/>
      <c r="CZ49" s="29">
        <v>4</v>
      </c>
      <c r="DA49" s="29" t="s">
        <v>279</v>
      </c>
      <c r="DB49" s="30">
        <v>1</v>
      </c>
      <c r="DC49" s="30">
        <v>16</v>
      </c>
      <c r="DD49" s="30"/>
      <c r="DE49" s="38"/>
      <c r="DG49" s="29">
        <v>4</v>
      </c>
      <c r="DH49" s="29" t="s">
        <v>279</v>
      </c>
      <c r="DI49" s="30">
        <v>1</v>
      </c>
      <c r="DJ49" s="30">
        <v>16</v>
      </c>
      <c r="DK49" s="30"/>
      <c r="DL49" s="38"/>
      <c r="DN49" s="29">
        <v>4</v>
      </c>
      <c r="DO49" s="29" t="s">
        <v>279</v>
      </c>
      <c r="DP49" s="30">
        <v>1</v>
      </c>
      <c r="DQ49" s="30">
        <v>16</v>
      </c>
      <c r="DR49" s="30"/>
      <c r="DS49" s="38"/>
      <c r="DU49" s="29">
        <v>4</v>
      </c>
      <c r="DV49" s="29" t="s">
        <v>279</v>
      </c>
      <c r="DW49" s="30">
        <v>1</v>
      </c>
      <c r="DX49" s="30">
        <v>16</v>
      </c>
      <c r="DY49" s="30"/>
      <c r="DZ49" s="38"/>
    </row>
    <row r="50" spans="2:130" ht="14.25">
      <c r="B50" s="29">
        <v>5</v>
      </c>
      <c r="C50" s="29" t="s">
        <v>270</v>
      </c>
      <c r="D50" s="38"/>
      <c r="E50" s="38"/>
      <c r="F50" s="30">
        <f>F41</f>
        <v>7.686690495407202</v>
      </c>
      <c r="G50" s="38"/>
      <c r="I50" s="29">
        <v>5</v>
      </c>
      <c r="J50" s="29" t="s">
        <v>270</v>
      </c>
      <c r="K50" s="38"/>
      <c r="L50" s="38"/>
      <c r="M50" s="30">
        <f>M41</f>
        <v>6.572677380130797</v>
      </c>
      <c r="N50" s="38"/>
      <c r="P50" s="29">
        <v>5</v>
      </c>
      <c r="Q50" s="29" t="s">
        <v>270</v>
      </c>
      <c r="R50" s="38"/>
      <c r="S50" s="38"/>
      <c r="T50" s="30">
        <f>T41</f>
        <v>5.095671227292415</v>
      </c>
      <c r="U50" s="38"/>
      <c r="W50" s="29">
        <v>5</v>
      </c>
      <c r="X50" s="29" t="s">
        <v>270</v>
      </c>
      <c r="Y50" s="38"/>
      <c r="Z50" s="38"/>
      <c r="AA50" s="30">
        <f>AA41</f>
        <v>4.580956961909343</v>
      </c>
      <c r="AB50" s="38"/>
      <c r="AD50" s="29">
        <v>5</v>
      </c>
      <c r="AE50" s="29" t="s">
        <v>270</v>
      </c>
      <c r="AF50" s="38"/>
      <c r="AG50" s="38"/>
      <c r="AH50" s="30">
        <f>AH41</f>
        <v>4.231998137920819</v>
      </c>
      <c r="AI50" s="38"/>
      <c r="AK50" s="29">
        <v>5</v>
      </c>
      <c r="AL50" s="29" t="s">
        <v>270</v>
      </c>
      <c r="AM50" s="38"/>
      <c r="AN50" s="38"/>
      <c r="AO50" s="30">
        <f>AO41</f>
        <v>4.231998137920819</v>
      </c>
      <c r="AP50" s="38"/>
      <c r="AW50" s="29">
        <v>5</v>
      </c>
      <c r="AX50" s="29" t="s">
        <v>270</v>
      </c>
      <c r="AY50" s="38"/>
      <c r="AZ50" s="38"/>
      <c r="BA50" s="30">
        <f>BA41</f>
        <v>3.6186650744540336</v>
      </c>
      <c r="BB50" s="38"/>
      <c r="BJ50" s="29">
        <v>5</v>
      </c>
      <c r="BK50" s="29" t="s">
        <v>270</v>
      </c>
      <c r="BL50" s="38"/>
      <c r="BM50" s="38"/>
      <c r="BN50" s="30">
        <f>BN41</f>
        <v>3.6186650744540336</v>
      </c>
      <c r="BO50" s="38"/>
      <c r="BQ50" s="29">
        <v>5</v>
      </c>
      <c r="BR50" s="29" t="s">
        <v>270</v>
      </c>
      <c r="BS50" s="38"/>
      <c r="BT50" s="38"/>
      <c r="BU50" s="30">
        <f>BU41</f>
        <v>2.914644631953249</v>
      </c>
      <c r="BV50" s="38"/>
      <c r="BX50" s="29">
        <v>5</v>
      </c>
      <c r="BY50" s="29" t="s">
        <v>270</v>
      </c>
      <c r="BZ50" s="38"/>
      <c r="CA50" s="38"/>
      <c r="CB50" s="30">
        <f>CB41</f>
        <v>2.8054819116553746</v>
      </c>
      <c r="CC50" s="38"/>
      <c r="CE50" s="29">
        <v>5</v>
      </c>
      <c r="CF50" s="29" t="s">
        <v>270</v>
      </c>
      <c r="CG50" s="38"/>
      <c r="CH50" s="38"/>
      <c r="CI50" s="30">
        <f>CI41</f>
        <v>2.8054819116553746</v>
      </c>
      <c r="CJ50" s="38"/>
      <c r="CL50" s="29">
        <v>5</v>
      </c>
      <c r="CM50" s="29" t="s">
        <v>270</v>
      </c>
      <c r="CN50" s="38"/>
      <c r="CO50" s="38"/>
      <c r="CP50" s="30">
        <f>CP41</f>
        <v>2.522099900377054</v>
      </c>
      <c r="CQ50" s="38"/>
      <c r="CS50" s="29">
        <v>5</v>
      </c>
      <c r="CT50" s="29" t="s">
        <v>270</v>
      </c>
      <c r="CU50" s="38"/>
      <c r="CV50" s="38"/>
      <c r="CW50" s="30">
        <f>CW41</f>
        <v>4.2083556902229375</v>
      </c>
      <c r="CX50" s="38"/>
      <c r="CZ50" s="29">
        <v>5</v>
      </c>
      <c r="DA50" s="29" t="s">
        <v>270</v>
      </c>
      <c r="DB50" s="38"/>
      <c r="DC50" s="38"/>
      <c r="DD50" s="30">
        <f>DD41</f>
        <v>4.2083556902229375</v>
      </c>
      <c r="DE50" s="38"/>
      <c r="DG50" s="29">
        <v>5</v>
      </c>
      <c r="DH50" s="29" t="s">
        <v>270</v>
      </c>
      <c r="DI50" s="38"/>
      <c r="DJ50" s="38"/>
      <c r="DK50" s="30">
        <f>DK41</f>
        <v>4.2083556902229375</v>
      </c>
      <c r="DL50" s="38"/>
      <c r="DN50" s="29">
        <v>5</v>
      </c>
      <c r="DO50" s="29" t="s">
        <v>270</v>
      </c>
      <c r="DP50" s="38"/>
      <c r="DQ50" s="38"/>
      <c r="DR50" s="30">
        <f>DR41</f>
        <v>3.5984490684514974</v>
      </c>
      <c r="DS50" s="38"/>
      <c r="DU50" s="29">
        <v>5</v>
      </c>
      <c r="DV50" s="29" t="s">
        <v>270</v>
      </c>
      <c r="DW50" s="38"/>
      <c r="DX50" s="38"/>
      <c r="DY50" s="30">
        <f>DY41</f>
        <v>2.8983617010484823</v>
      </c>
      <c r="DZ50" s="38"/>
    </row>
    <row r="51" spans="2:130" ht="14.25">
      <c r="B51" s="29">
        <v>6</v>
      </c>
      <c r="C51" s="29" t="s">
        <v>280</v>
      </c>
      <c r="D51" s="30">
        <v>1</v>
      </c>
      <c r="E51" s="38">
        <v>26</v>
      </c>
      <c r="F51" s="30">
        <f t="shared" si="85"/>
        <v>26</v>
      </c>
      <c r="G51" s="29"/>
      <c r="I51" s="29">
        <v>6</v>
      </c>
      <c r="J51" s="29" t="s">
        <v>280</v>
      </c>
      <c r="K51" s="30">
        <v>1</v>
      </c>
      <c r="L51" s="38">
        <v>26</v>
      </c>
      <c r="M51" s="30">
        <f t="shared" si="86"/>
        <v>26</v>
      </c>
      <c r="N51" s="29"/>
      <c r="P51" s="29">
        <v>6</v>
      </c>
      <c r="Q51" s="29" t="s">
        <v>280</v>
      </c>
      <c r="R51" s="30">
        <v>1</v>
      </c>
      <c r="S51" s="38">
        <v>26</v>
      </c>
      <c r="T51" s="30">
        <f t="shared" si="87"/>
        <v>26</v>
      </c>
      <c r="U51" s="29"/>
      <c r="W51" s="29">
        <v>6</v>
      </c>
      <c r="X51" s="29" t="s">
        <v>280</v>
      </c>
      <c r="Y51" s="30">
        <v>1</v>
      </c>
      <c r="Z51" s="38">
        <v>26</v>
      </c>
      <c r="AA51" s="30">
        <f t="shared" si="88"/>
        <v>26</v>
      </c>
      <c r="AB51" s="29"/>
      <c r="AD51" s="29">
        <v>6</v>
      </c>
      <c r="AE51" s="29" t="s">
        <v>280</v>
      </c>
      <c r="AF51" s="30">
        <v>1</v>
      </c>
      <c r="AG51" s="38">
        <v>26</v>
      </c>
      <c r="AH51" s="30">
        <f t="shared" si="89"/>
        <v>26</v>
      </c>
      <c r="AI51" s="29"/>
      <c r="AK51" s="29">
        <v>6</v>
      </c>
      <c r="AL51" s="29" t="s">
        <v>280</v>
      </c>
      <c r="AM51" s="30">
        <v>1</v>
      </c>
      <c r="AN51" s="38">
        <v>26</v>
      </c>
      <c r="AO51" s="30">
        <f t="shared" si="90"/>
        <v>26</v>
      </c>
      <c r="AP51" s="29"/>
      <c r="AW51" s="29">
        <v>6</v>
      </c>
      <c r="AX51" s="29" t="s">
        <v>280</v>
      </c>
      <c r="AY51" s="30">
        <v>1</v>
      </c>
      <c r="AZ51" s="38">
        <v>26</v>
      </c>
      <c r="BA51" s="30">
        <f t="shared" si="91"/>
        <v>26</v>
      </c>
      <c r="BB51" s="29"/>
      <c r="BJ51" s="29">
        <v>6</v>
      </c>
      <c r="BK51" s="29" t="s">
        <v>280</v>
      </c>
      <c r="BL51" s="30">
        <v>1</v>
      </c>
      <c r="BM51" s="38">
        <v>26</v>
      </c>
      <c r="BN51" s="30">
        <f t="shared" si="92"/>
        <v>26</v>
      </c>
      <c r="BO51" s="29"/>
      <c r="BQ51" s="29">
        <v>6</v>
      </c>
      <c r="BR51" s="29" t="s">
        <v>280</v>
      </c>
      <c r="BS51" s="30">
        <v>1</v>
      </c>
      <c r="BT51" s="38">
        <v>26</v>
      </c>
      <c r="BU51" s="30">
        <f t="shared" si="93"/>
        <v>26</v>
      </c>
      <c r="BV51" s="29"/>
      <c r="BX51" s="29">
        <v>6</v>
      </c>
      <c r="BY51" s="29" t="s">
        <v>280</v>
      </c>
      <c r="BZ51" s="30">
        <v>1</v>
      </c>
      <c r="CA51" s="38">
        <v>26</v>
      </c>
      <c r="CB51" s="30">
        <f t="shared" si="94"/>
        <v>26</v>
      </c>
      <c r="CC51" s="29"/>
      <c r="CE51" s="29">
        <v>6</v>
      </c>
      <c r="CF51" s="29" t="s">
        <v>280</v>
      </c>
      <c r="CG51" s="30">
        <v>1</v>
      </c>
      <c r="CH51" s="38">
        <v>26</v>
      </c>
      <c r="CI51" s="30">
        <f t="shared" si="95"/>
        <v>26</v>
      </c>
      <c r="CJ51" s="29"/>
      <c r="CL51" s="29">
        <v>6</v>
      </c>
      <c r="CM51" s="29" t="s">
        <v>280</v>
      </c>
      <c r="CN51" s="30">
        <v>1</v>
      </c>
      <c r="CO51" s="38">
        <v>26</v>
      </c>
      <c r="CP51" s="30">
        <f t="shared" si="96"/>
        <v>26</v>
      </c>
      <c r="CQ51" s="29"/>
      <c r="CS51" s="29">
        <v>6</v>
      </c>
      <c r="CT51" s="29" t="s">
        <v>280</v>
      </c>
      <c r="CU51" s="30">
        <v>1</v>
      </c>
      <c r="CV51" s="38">
        <v>26</v>
      </c>
      <c r="CW51" s="30">
        <f t="shared" si="97"/>
        <v>26</v>
      </c>
      <c r="CX51" s="29"/>
      <c r="CZ51" s="29">
        <v>6</v>
      </c>
      <c r="DA51" s="29" t="s">
        <v>280</v>
      </c>
      <c r="DB51" s="30">
        <v>1</v>
      </c>
      <c r="DC51" s="38">
        <v>26</v>
      </c>
      <c r="DD51" s="30">
        <f t="shared" si="98"/>
        <v>26</v>
      </c>
      <c r="DE51" s="29"/>
      <c r="DG51" s="29">
        <v>6</v>
      </c>
      <c r="DH51" s="29" t="s">
        <v>280</v>
      </c>
      <c r="DI51" s="30">
        <v>1</v>
      </c>
      <c r="DJ51" s="38">
        <v>26</v>
      </c>
      <c r="DK51" s="30">
        <f t="shared" si="99"/>
        <v>26</v>
      </c>
      <c r="DL51" s="29"/>
      <c r="DN51" s="29">
        <v>6</v>
      </c>
      <c r="DO51" s="29" t="s">
        <v>280</v>
      </c>
      <c r="DP51" s="30">
        <v>1</v>
      </c>
      <c r="DQ51" s="38">
        <v>26</v>
      </c>
      <c r="DR51" s="30">
        <f t="shared" si="100"/>
        <v>26</v>
      </c>
      <c r="DS51" s="29"/>
      <c r="DU51" s="29">
        <v>6</v>
      </c>
      <c r="DV51" s="29" t="s">
        <v>280</v>
      </c>
      <c r="DW51" s="30">
        <v>1</v>
      </c>
      <c r="DX51" s="38">
        <v>26</v>
      </c>
      <c r="DY51" s="30">
        <f t="shared" si="101"/>
        <v>26</v>
      </c>
      <c r="DZ51" s="29"/>
    </row>
    <row r="52" spans="2:130" ht="14.25">
      <c r="B52" s="29">
        <v>7</v>
      </c>
      <c r="C52" s="29" t="s">
        <v>281</v>
      </c>
      <c r="D52" s="30">
        <f>D51</f>
        <v>1</v>
      </c>
      <c r="E52" s="38">
        <v>38</v>
      </c>
      <c r="F52" s="30">
        <f t="shared" si="85"/>
        <v>38</v>
      </c>
      <c r="G52" s="29"/>
      <c r="I52" s="29">
        <v>7</v>
      </c>
      <c r="J52" s="29" t="s">
        <v>281</v>
      </c>
      <c r="K52" s="30">
        <f>K51</f>
        <v>1</v>
      </c>
      <c r="L52" s="38">
        <v>38</v>
      </c>
      <c r="M52" s="30">
        <f t="shared" si="86"/>
        <v>38</v>
      </c>
      <c r="N52" s="29"/>
      <c r="P52" s="29">
        <v>7</v>
      </c>
      <c r="Q52" s="29" t="s">
        <v>281</v>
      </c>
      <c r="R52" s="30">
        <f>R51</f>
        <v>1</v>
      </c>
      <c r="S52" s="38">
        <v>38</v>
      </c>
      <c r="T52" s="30">
        <f t="shared" si="87"/>
        <v>38</v>
      </c>
      <c r="U52" s="29"/>
      <c r="W52" s="29">
        <v>7</v>
      </c>
      <c r="X52" s="29" t="s">
        <v>281</v>
      </c>
      <c r="Y52" s="30">
        <f>Y51</f>
        <v>1</v>
      </c>
      <c r="Z52" s="38">
        <v>38</v>
      </c>
      <c r="AA52" s="30">
        <f t="shared" si="88"/>
        <v>38</v>
      </c>
      <c r="AB52" s="29"/>
      <c r="AD52" s="29">
        <v>7</v>
      </c>
      <c r="AE52" s="29" t="s">
        <v>281</v>
      </c>
      <c r="AF52" s="30">
        <f>AF51</f>
        <v>1</v>
      </c>
      <c r="AG52" s="38">
        <v>38</v>
      </c>
      <c r="AH52" s="30">
        <f t="shared" si="89"/>
        <v>38</v>
      </c>
      <c r="AI52" s="29"/>
      <c r="AK52" s="29">
        <v>7</v>
      </c>
      <c r="AL52" s="29" t="s">
        <v>281</v>
      </c>
      <c r="AM52" s="30">
        <f>AM51</f>
        <v>1</v>
      </c>
      <c r="AN52" s="38">
        <v>38</v>
      </c>
      <c r="AO52" s="30">
        <f t="shared" si="90"/>
        <v>38</v>
      </c>
      <c r="AP52" s="29"/>
      <c r="AW52" s="29">
        <v>7</v>
      </c>
      <c r="AX52" s="29" t="s">
        <v>281</v>
      </c>
      <c r="AY52" s="30">
        <f>AY51</f>
        <v>1</v>
      </c>
      <c r="AZ52" s="38">
        <v>38</v>
      </c>
      <c r="BA52" s="30">
        <f t="shared" si="91"/>
        <v>38</v>
      </c>
      <c r="BB52" s="29"/>
      <c r="BJ52" s="29">
        <v>7</v>
      </c>
      <c r="BK52" s="29" t="s">
        <v>281</v>
      </c>
      <c r="BL52" s="30">
        <f>BL51</f>
        <v>1</v>
      </c>
      <c r="BM52" s="38">
        <v>38</v>
      </c>
      <c r="BN52" s="30">
        <f t="shared" si="92"/>
        <v>38</v>
      </c>
      <c r="BO52" s="29"/>
      <c r="BQ52" s="29">
        <v>7</v>
      </c>
      <c r="BR52" s="29" t="s">
        <v>281</v>
      </c>
      <c r="BS52" s="30">
        <f>BS51</f>
        <v>1</v>
      </c>
      <c r="BT52" s="38">
        <v>38</v>
      </c>
      <c r="BU52" s="30">
        <f t="shared" si="93"/>
        <v>38</v>
      </c>
      <c r="BV52" s="29"/>
      <c r="BX52" s="29">
        <v>7</v>
      </c>
      <c r="BY52" s="29" t="s">
        <v>281</v>
      </c>
      <c r="BZ52" s="30">
        <f>BZ51</f>
        <v>1</v>
      </c>
      <c r="CA52" s="38">
        <v>38</v>
      </c>
      <c r="CB52" s="30">
        <f t="shared" si="94"/>
        <v>38</v>
      </c>
      <c r="CC52" s="29"/>
      <c r="CE52" s="29">
        <v>7</v>
      </c>
      <c r="CF52" s="29" t="s">
        <v>281</v>
      </c>
      <c r="CG52" s="30">
        <f>CG51</f>
        <v>1</v>
      </c>
      <c r="CH52" s="38">
        <v>38</v>
      </c>
      <c r="CI52" s="30">
        <f t="shared" si="95"/>
        <v>38</v>
      </c>
      <c r="CJ52" s="29"/>
      <c r="CL52" s="29">
        <v>7</v>
      </c>
      <c r="CM52" s="29" t="s">
        <v>281</v>
      </c>
      <c r="CN52" s="30">
        <f>CN51</f>
        <v>1</v>
      </c>
      <c r="CO52" s="38">
        <v>38</v>
      </c>
      <c r="CP52" s="30">
        <f t="shared" si="96"/>
        <v>38</v>
      </c>
      <c r="CQ52" s="29"/>
      <c r="CS52" s="29">
        <v>7</v>
      </c>
      <c r="CT52" s="29" t="s">
        <v>281</v>
      </c>
      <c r="CU52" s="30">
        <f>CU51</f>
        <v>1</v>
      </c>
      <c r="CV52" s="38">
        <v>38</v>
      </c>
      <c r="CW52" s="30">
        <f t="shared" si="97"/>
        <v>38</v>
      </c>
      <c r="CX52" s="29"/>
      <c r="CZ52" s="29">
        <v>7</v>
      </c>
      <c r="DA52" s="29" t="s">
        <v>281</v>
      </c>
      <c r="DB52" s="30">
        <f>DB51</f>
        <v>1</v>
      </c>
      <c r="DC52" s="38">
        <v>38</v>
      </c>
      <c r="DD52" s="30">
        <f t="shared" si="98"/>
        <v>38</v>
      </c>
      <c r="DE52" s="29"/>
      <c r="DG52" s="29">
        <v>7</v>
      </c>
      <c r="DH52" s="29" t="s">
        <v>281</v>
      </c>
      <c r="DI52" s="30">
        <f>DI51</f>
        <v>1</v>
      </c>
      <c r="DJ52" s="38">
        <v>38</v>
      </c>
      <c r="DK52" s="30">
        <f t="shared" si="99"/>
        <v>38</v>
      </c>
      <c r="DL52" s="29"/>
      <c r="DN52" s="29">
        <v>7</v>
      </c>
      <c r="DO52" s="29" t="s">
        <v>281</v>
      </c>
      <c r="DP52" s="30">
        <f>DP51</f>
        <v>1</v>
      </c>
      <c r="DQ52" s="38">
        <v>38</v>
      </c>
      <c r="DR52" s="30">
        <f t="shared" si="100"/>
        <v>38</v>
      </c>
      <c r="DS52" s="29"/>
      <c r="DU52" s="29">
        <v>7</v>
      </c>
      <c r="DV52" s="29" t="s">
        <v>281</v>
      </c>
      <c r="DW52" s="30">
        <f>DW51</f>
        <v>1</v>
      </c>
      <c r="DX52" s="38">
        <v>38</v>
      </c>
      <c r="DY52" s="30">
        <f t="shared" si="101"/>
        <v>38</v>
      </c>
      <c r="DZ52" s="29"/>
    </row>
    <row r="53" spans="2:130" ht="14.25">
      <c r="B53" s="29">
        <v>8</v>
      </c>
      <c r="C53" s="29" t="s">
        <v>282</v>
      </c>
      <c r="D53" s="30">
        <f>D52</f>
        <v>1</v>
      </c>
      <c r="E53" s="38">
        <v>15</v>
      </c>
      <c r="F53" s="30">
        <f t="shared" si="85"/>
        <v>15</v>
      </c>
      <c r="G53" s="29"/>
      <c r="I53" s="29">
        <v>8</v>
      </c>
      <c r="J53" s="29" t="s">
        <v>282</v>
      </c>
      <c r="K53" s="30">
        <f>K52</f>
        <v>1</v>
      </c>
      <c r="L53" s="38">
        <v>15</v>
      </c>
      <c r="M53" s="30">
        <f t="shared" si="86"/>
        <v>15</v>
      </c>
      <c r="N53" s="29"/>
      <c r="P53" s="29">
        <v>8</v>
      </c>
      <c r="Q53" s="29" t="s">
        <v>282</v>
      </c>
      <c r="R53" s="30">
        <f>R52</f>
        <v>1</v>
      </c>
      <c r="S53" s="38">
        <v>15</v>
      </c>
      <c r="T53" s="30">
        <f t="shared" si="87"/>
        <v>15</v>
      </c>
      <c r="U53" s="29"/>
      <c r="W53" s="29">
        <v>8</v>
      </c>
      <c r="X53" s="29" t="s">
        <v>282</v>
      </c>
      <c r="Y53" s="30">
        <f>Y52</f>
        <v>1</v>
      </c>
      <c r="Z53" s="38">
        <v>15</v>
      </c>
      <c r="AA53" s="30">
        <f t="shared" si="88"/>
        <v>15</v>
      </c>
      <c r="AB53" s="29"/>
      <c r="AD53" s="29">
        <v>8</v>
      </c>
      <c r="AE53" s="29" t="s">
        <v>282</v>
      </c>
      <c r="AF53" s="30">
        <f>AF52</f>
        <v>1</v>
      </c>
      <c r="AG53" s="38">
        <v>15</v>
      </c>
      <c r="AH53" s="30">
        <f t="shared" si="89"/>
        <v>15</v>
      </c>
      <c r="AI53" s="29"/>
      <c r="AK53" s="29">
        <v>8</v>
      </c>
      <c r="AL53" s="29" t="s">
        <v>282</v>
      </c>
      <c r="AM53" s="30">
        <f>AM52</f>
        <v>1</v>
      </c>
      <c r="AN53" s="38">
        <v>15</v>
      </c>
      <c r="AO53" s="30">
        <f t="shared" si="90"/>
        <v>15</v>
      </c>
      <c r="AP53" s="29"/>
      <c r="AW53" s="29">
        <v>8</v>
      </c>
      <c r="AX53" s="29" t="s">
        <v>282</v>
      </c>
      <c r="AY53" s="30">
        <f>AY52</f>
        <v>1</v>
      </c>
      <c r="AZ53" s="38">
        <v>15</v>
      </c>
      <c r="BA53" s="30">
        <f t="shared" si="91"/>
        <v>15</v>
      </c>
      <c r="BB53" s="29"/>
      <c r="BJ53" s="29">
        <v>8</v>
      </c>
      <c r="BK53" s="29" t="s">
        <v>282</v>
      </c>
      <c r="BL53" s="30">
        <f>BL52</f>
        <v>1</v>
      </c>
      <c r="BM53" s="38">
        <v>15</v>
      </c>
      <c r="BN53" s="30">
        <f t="shared" si="92"/>
        <v>15</v>
      </c>
      <c r="BO53" s="29"/>
      <c r="BQ53" s="29">
        <v>8</v>
      </c>
      <c r="BR53" s="29" t="s">
        <v>282</v>
      </c>
      <c r="BS53" s="30">
        <f>BS52</f>
        <v>1</v>
      </c>
      <c r="BT53" s="38">
        <v>15</v>
      </c>
      <c r="BU53" s="30">
        <f t="shared" si="93"/>
        <v>15</v>
      </c>
      <c r="BV53" s="29"/>
      <c r="BX53" s="29">
        <v>8</v>
      </c>
      <c r="BY53" s="29" t="s">
        <v>282</v>
      </c>
      <c r="BZ53" s="30">
        <f>BZ52</f>
        <v>1</v>
      </c>
      <c r="CA53" s="38">
        <v>15</v>
      </c>
      <c r="CB53" s="30">
        <f t="shared" si="94"/>
        <v>15</v>
      </c>
      <c r="CC53" s="29"/>
      <c r="CE53" s="29">
        <v>8</v>
      </c>
      <c r="CF53" s="29" t="s">
        <v>282</v>
      </c>
      <c r="CG53" s="30">
        <f>CG52</f>
        <v>1</v>
      </c>
      <c r="CH53" s="38">
        <v>15</v>
      </c>
      <c r="CI53" s="30">
        <f t="shared" si="95"/>
        <v>15</v>
      </c>
      <c r="CJ53" s="29"/>
      <c r="CL53" s="29">
        <v>8</v>
      </c>
      <c r="CM53" s="29" t="s">
        <v>282</v>
      </c>
      <c r="CN53" s="30">
        <f>CN52</f>
        <v>1</v>
      </c>
      <c r="CO53" s="38">
        <v>15</v>
      </c>
      <c r="CP53" s="30">
        <f t="shared" si="96"/>
        <v>15</v>
      </c>
      <c r="CQ53" s="29"/>
      <c r="CS53" s="29">
        <v>8</v>
      </c>
      <c r="CT53" s="29" t="s">
        <v>282</v>
      </c>
      <c r="CU53" s="30">
        <f>CU52</f>
        <v>1</v>
      </c>
      <c r="CV53" s="38">
        <v>15</v>
      </c>
      <c r="CW53" s="30">
        <f t="shared" si="97"/>
        <v>15</v>
      </c>
      <c r="CX53" s="29"/>
      <c r="CZ53" s="29">
        <v>8</v>
      </c>
      <c r="DA53" s="29" t="s">
        <v>282</v>
      </c>
      <c r="DB53" s="30">
        <f>DB52</f>
        <v>1</v>
      </c>
      <c r="DC53" s="38">
        <v>15</v>
      </c>
      <c r="DD53" s="30">
        <f t="shared" si="98"/>
        <v>15</v>
      </c>
      <c r="DE53" s="29"/>
      <c r="DG53" s="29">
        <v>8</v>
      </c>
      <c r="DH53" s="29" t="s">
        <v>282</v>
      </c>
      <c r="DI53" s="30">
        <f>DI52</f>
        <v>1</v>
      </c>
      <c r="DJ53" s="38">
        <v>15</v>
      </c>
      <c r="DK53" s="30">
        <f t="shared" si="99"/>
        <v>15</v>
      </c>
      <c r="DL53" s="29"/>
      <c r="DN53" s="29">
        <v>8</v>
      </c>
      <c r="DO53" s="29" t="s">
        <v>282</v>
      </c>
      <c r="DP53" s="30">
        <f>DP52</f>
        <v>1</v>
      </c>
      <c r="DQ53" s="38">
        <v>15</v>
      </c>
      <c r="DR53" s="30">
        <f t="shared" si="100"/>
        <v>15</v>
      </c>
      <c r="DS53" s="29"/>
      <c r="DU53" s="29">
        <v>8</v>
      </c>
      <c r="DV53" s="29" t="s">
        <v>282</v>
      </c>
      <c r="DW53" s="30">
        <f>DW52</f>
        <v>1</v>
      </c>
      <c r="DX53" s="38">
        <v>15</v>
      </c>
      <c r="DY53" s="30">
        <f t="shared" si="101"/>
        <v>15</v>
      </c>
      <c r="DZ53" s="29"/>
    </row>
    <row r="54" spans="2:130" ht="14.25">
      <c r="B54" s="29">
        <v>9</v>
      </c>
      <c r="C54" s="29" t="s">
        <v>283</v>
      </c>
      <c r="D54" s="38"/>
      <c r="E54" s="38"/>
      <c r="F54" s="30">
        <f>SUM(F46:F53)</f>
        <v>315.948216241977</v>
      </c>
      <c r="G54" s="38"/>
      <c r="I54" s="29">
        <v>9</v>
      </c>
      <c r="J54" s="29" t="s">
        <v>283</v>
      </c>
      <c r="K54" s="38"/>
      <c r="L54" s="38"/>
      <c r="M54" s="30">
        <f>SUM(M46:M53)</f>
        <v>297.6480109895166</v>
      </c>
      <c r="N54" s="38"/>
      <c r="P54" s="29">
        <v>9</v>
      </c>
      <c r="Q54" s="29" t="s">
        <v>283</v>
      </c>
      <c r="R54" s="38"/>
      <c r="S54" s="38"/>
      <c r="T54" s="30">
        <f>SUM(T46:T53)</f>
        <v>273.43351092766693</v>
      </c>
      <c r="U54" s="38"/>
      <c r="W54" s="29">
        <v>9</v>
      </c>
      <c r="X54" s="29" t="s">
        <v>283</v>
      </c>
      <c r="Y54" s="38"/>
      <c r="Z54" s="38"/>
      <c r="AA54" s="30">
        <f>SUM(AA46:AA53)</f>
        <v>264.9951245424769</v>
      </c>
      <c r="AB54" s="38"/>
      <c r="AD54" s="29">
        <v>9</v>
      </c>
      <c r="AE54" s="29" t="s">
        <v>283</v>
      </c>
      <c r="AF54" s="38"/>
      <c r="AG54" s="38"/>
      <c r="AH54" s="30">
        <f>SUM(AH46:AH53)</f>
        <v>271.01087962081294</v>
      </c>
      <c r="AI54" s="38"/>
      <c r="AK54" s="29">
        <v>9</v>
      </c>
      <c r="AL54" s="29" t="s">
        <v>283</v>
      </c>
      <c r="AM54" s="38"/>
      <c r="AN54" s="38"/>
      <c r="AO54" s="30">
        <f>SUM(AO46:AO53)</f>
        <v>325.6225048350579</v>
      </c>
      <c r="AP54" s="38"/>
      <c r="AW54" s="29">
        <v>9</v>
      </c>
      <c r="AX54" s="29" t="s">
        <v>283</v>
      </c>
      <c r="AY54" s="38"/>
      <c r="AZ54" s="38"/>
      <c r="BA54" s="30">
        <f>SUM(BA46:BA53)</f>
        <v>302.25801805713877</v>
      </c>
      <c r="BB54" s="38"/>
      <c r="BJ54" s="29">
        <v>9</v>
      </c>
      <c r="BK54" s="29" t="s">
        <v>283</v>
      </c>
      <c r="BL54" s="38"/>
      <c r="BM54" s="38"/>
      <c r="BN54" s="30">
        <f>SUM(BN46:BN53)</f>
        <v>256.8629221444209</v>
      </c>
      <c r="BO54" s="38"/>
      <c r="BQ54" s="29">
        <v>9</v>
      </c>
      <c r="BR54" s="29" t="s">
        <v>283</v>
      </c>
      <c r="BS54" s="38"/>
      <c r="BT54" s="38"/>
      <c r="BU54" s="30">
        <f>SUM(BU46:BU53)</f>
        <v>238.81385103251284</v>
      </c>
      <c r="BV54" s="38"/>
      <c r="BX54" s="29">
        <v>9</v>
      </c>
      <c r="BY54" s="29" t="s">
        <v>283</v>
      </c>
      <c r="BZ54" s="38"/>
      <c r="CA54" s="38"/>
      <c r="CB54" s="30">
        <f>SUM(CB46:CB53)</f>
        <v>268.1199051747114</v>
      </c>
      <c r="CC54" s="38"/>
      <c r="CE54" s="29">
        <v>9</v>
      </c>
      <c r="CF54" s="29" t="s">
        <v>283</v>
      </c>
      <c r="CG54" s="38"/>
      <c r="CH54" s="38"/>
      <c r="CI54" s="30">
        <f>SUM(CI46:CI53)</f>
        <v>235.98846217509015</v>
      </c>
      <c r="CJ54" s="38"/>
      <c r="CL54" s="29">
        <v>9</v>
      </c>
      <c r="CM54" s="29" t="s">
        <v>283</v>
      </c>
      <c r="CN54" s="38"/>
      <c r="CO54" s="38"/>
      <c r="CP54" s="30">
        <f>SUM(CP46:CP53)</f>
        <v>232.52206660865835</v>
      </c>
      <c r="CQ54" s="38"/>
      <c r="CS54" s="29">
        <v>9</v>
      </c>
      <c r="CT54" s="29" t="s">
        <v>283</v>
      </c>
      <c r="CU54" s="38"/>
      <c r="CV54" s="38"/>
      <c r="CW54" s="30">
        <f>SUM(CW46:CW53)</f>
        <v>253.18191772664628</v>
      </c>
      <c r="CX54" s="38"/>
      <c r="CZ54" s="29">
        <v>9</v>
      </c>
      <c r="DA54" s="29" t="s">
        <v>283</v>
      </c>
      <c r="DB54" s="38"/>
      <c r="DC54" s="38"/>
      <c r="DD54" s="30">
        <f>SUM(DD46:DD53)</f>
        <v>257.3948521078602</v>
      </c>
      <c r="DE54" s="38"/>
      <c r="DG54" s="29">
        <v>9</v>
      </c>
      <c r="DH54" s="29" t="s">
        <v>283</v>
      </c>
      <c r="DI54" s="38"/>
      <c r="DJ54" s="38"/>
      <c r="DK54" s="30">
        <f>SUM(DK46:DK53)</f>
        <v>309.2232411072184</v>
      </c>
      <c r="DL54" s="38"/>
      <c r="DN54" s="29">
        <v>9</v>
      </c>
      <c r="DO54" s="29" t="s">
        <v>283</v>
      </c>
      <c r="DP54" s="38"/>
      <c r="DQ54" s="38"/>
      <c r="DR54" s="30">
        <f>SUM(DR46:DR53)</f>
        <v>243.58707946275155</v>
      </c>
      <c r="DS54" s="38"/>
      <c r="DU54" s="29">
        <v>9</v>
      </c>
      <c r="DV54" s="29" t="s">
        <v>283</v>
      </c>
      <c r="DW54" s="38"/>
      <c r="DX54" s="38"/>
      <c r="DY54" s="30">
        <f>SUM(DY46:DY53)</f>
        <v>225.85485414719332</v>
      </c>
      <c r="DZ54" s="38"/>
    </row>
    <row r="55" spans="2:130" ht="14.25">
      <c r="B55" s="29">
        <v>10</v>
      </c>
      <c r="C55" s="29" t="s">
        <v>284</v>
      </c>
      <c r="D55" s="14" t="s">
        <v>285</v>
      </c>
      <c r="E55" s="14"/>
      <c r="F55" s="25">
        <f>F54*1.2</f>
        <v>379.13785949037236</v>
      </c>
      <c r="G55" s="38"/>
      <c r="I55" s="29">
        <v>10</v>
      </c>
      <c r="J55" s="29" t="s">
        <v>284</v>
      </c>
      <c r="K55" s="14" t="s">
        <v>285</v>
      </c>
      <c r="L55" s="14"/>
      <c r="M55" s="25">
        <f>M54*1.2</f>
        <v>357.1776131874199</v>
      </c>
      <c r="N55" s="38"/>
      <c r="P55" s="29">
        <v>10</v>
      </c>
      <c r="Q55" s="29" t="s">
        <v>284</v>
      </c>
      <c r="R55" s="14" t="s">
        <v>285</v>
      </c>
      <c r="S55" s="14"/>
      <c r="T55" s="25">
        <f>T54*1.2</f>
        <v>328.1202131132003</v>
      </c>
      <c r="U55" s="38"/>
      <c r="W55" s="29">
        <v>10</v>
      </c>
      <c r="X55" s="29" t="s">
        <v>284</v>
      </c>
      <c r="Y55" s="14" t="s">
        <v>285</v>
      </c>
      <c r="Z55" s="14"/>
      <c r="AA55" s="25">
        <f>AA54*1.2</f>
        <v>317.99414945097226</v>
      </c>
      <c r="AB55" s="38"/>
      <c r="AD55" s="29">
        <v>10</v>
      </c>
      <c r="AE55" s="29" t="s">
        <v>284</v>
      </c>
      <c r="AF55" s="14" t="s">
        <v>285</v>
      </c>
      <c r="AG55" s="14"/>
      <c r="AH55" s="25">
        <f>AH54*1.2</f>
        <v>325.21305554497553</v>
      </c>
      <c r="AI55" s="38"/>
      <c r="AK55" s="29">
        <v>10</v>
      </c>
      <c r="AL55" s="29" t="s">
        <v>284</v>
      </c>
      <c r="AM55" s="14" t="s">
        <v>285</v>
      </c>
      <c r="AN55" s="14"/>
      <c r="AO55" s="25">
        <f>AO54*1.2</f>
        <v>390.74700580206945</v>
      </c>
      <c r="AP55" s="38"/>
      <c r="AW55" s="29">
        <v>10</v>
      </c>
      <c r="AX55" s="29" t="s">
        <v>284</v>
      </c>
      <c r="AY55" s="14" t="s">
        <v>285</v>
      </c>
      <c r="AZ55" s="14"/>
      <c r="BA55" s="25">
        <f>BA54*1.2</f>
        <v>362.7096216685665</v>
      </c>
      <c r="BB55" s="38"/>
      <c r="BJ55" s="29">
        <v>10</v>
      </c>
      <c r="BK55" s="29" t="s">
        <v>284</v>
      </c>
      <c r="BL55" s="14" t="s">
        <v>285</v>
      </c>
      <c r="BM55" s="14"/>
      <c r="BN55" s="25">
        <f>BN54*1.2</f>
        <v>308.2355065733051</v>
      </c>
      <c r="BO55" s="38"/>
      <c r="BQ55" s="29">
        <v>10</v>
      </c>
      <c r="BR55" s="29" t="s">
        <v>284</v>
      </c>
      <c r="BS55" s="14" t="s">
        <v>285</v>
      </c>
      <c r="BT55" s="14"/>
      <c r="BU55" s="25">
        <f>BU54*1.2</f>
        <v>286.5766212390154</v>
      </c>
      <c r="BV55" s="38"/>
      <c r="BX55" s="29">
        <v>10</v>
      </c>
      <c r="BY55" s="29" t="s">
        <v>284</v>
      </c>
      <c r="BZ55" s="14" t="s">
        <v>285</v>
      </c>
      <c r="CA55" s="14"/>
      <c r="CB55" s="25">
        <f>CB54*1.2</f>
        <v>321.7438862096537</v>
      </c>
      <c r="CC55" s="38"/>
      <c r="CE55" s="29">
        <v>10</v>
      </c>
      <c r="CF55" s="29" t="s">
        <v>284</v>
      </c>
      <c r="CG55" s="14" t="s">
        <v>285</v>
      </c>
      <c r="CH55" s="14"/>
      <c r="CI55" s="25">
        <f>CI54*1.2</f>
        <v>283.1861546101082</v>
      </c>
      <c r="CJ55" s="38"/>
      <c r="CL55" s="29">
        <v>10</v>
      </c>
      <c r="CM55" s="29" t="s">
        <v>284</v>
      </c>
      <c r="CN55" s="14" t="s">
        <v>285</v>
      </c>
      <c r="CO55" s="14"/>
      <c r="CP55" s="25">
        <f>CP54*1.2</f>
        <v>279.02647993039</v>
      </c>
      <c r="CQ55" s="38"/>
      <c r="CS55" s="29">
        <v>10</v>
      </c>
      <c r="CT55" s="29" t="s">
        <v>284</v>
      </c>
      <c r="CU55" s="14" t="s">
        <v>285</v>
      </c>
      <c r="CV55" s="14"/>
      <c r="CW55" s="25">
        <f>CW54*1.2</f>
        <v>303.81830127197554</v>
      </c>
      <c r="CX55" s="38"/>
      <c r="CZ55" s="29">
        <v>10</v>
      </c>
      <c r="DA55" s="29" t="s">
        <v>284</v>
      </c>
      <c r="DB55" s="14" t="s">
        <v>285</v>
      </c>
      <c r="DC55" s="14"/>
      <c r="DD55" s="25">
        <f>DD54*1.2</f>
        <v>308.8738225294322</v>
      </c>
      <c r="DE55" s="38"/>
      <c r="DG55" s="29">
        <v>10</v>
      </c>
      <c r="DH55" s="29" t="s">
        <v>284</v>
      </c>
      <c r="DI55" s="14" t="s">
        <v>285</v>
      </c>
      <c r="DJ55" s="14"/>
      <c r="DK55" s="25">
        <f>DK54*1.2</f>
        <v>371.0678893286621</v>
      </c>
      <c r="DL55" s="38"/>
      <c r="DN55" s="29">
        <v>10</v>
      </c>
      <c r="DO55" s="29" t="s">
        <v>284</v>
      </c>
      <c r="DP55" s="14" t="s">
        <v>285</v>
      </c>
      <c r="DQ55" s="14"/>
      <c r="DR55" s="25">
        <f>DR54*1.2</f>
        <v>292.30449535530187</v>
      </c>
      <c r="DS55" s="38"/>
      <c r="DU55" s="29">
        <v>10</v>
      </c>
      <c r="DV55" s="29" t="s">
        <v>284</v>
      </c>
      <c r="DW55" s="14" t="s">
        <v>285</v>
      </c>
      <c r="DX55" s="14"/>
      <c r="DY55" s="25">
        <f>DY54*1.2</f>
        <v>271.02582497663195</v>
      </c>
      <c r="DZ55" s="38"/>
    </row>
  </sheetData>
  <sheetProtection/>
  <mergeCells count="51">
    <mergeCell ref="B1:D1"/>
    <mergeCell ref="E1:G1"/>
    <mergeCell ref="I1:K1"/>
    <mergeCell ref="L1:N1"/>
    <mergeCell ref="P1:R1"/>
    <mergeCell ref="S1:U1"/>
    <mergeCell ref="W1:Y1"/>
    <mergeCell ref="Z1:AB1"/>
    <mergeCell ref="AD1:AF1"/>
    <mergeCell ref="AG1:AI1"/>
    <mergeCell ref="AK1:AM1"/>
    <mergeCell ref="AN1:AP1"/>
    <mergeCell ref="AW1:AY1"/>
    <mergeCell ref="AZ1:BB1"/>
    <mergeCell ref="BJ1:BL1"/>
    <mergeCell ref="BM1:BO1"/>
    <mergeCell ref="BQ1:BS1"/>
    <mergeCell ref="BT1:BV1"/>
    <mergeCell ref="BX1:BZ1"/>
    <mergeCell ref="CA1:CC1"/>
    <mergeCell ref="CE1:CG1"/>
    <mergeCell ref="CH1:CJ1"/>
    <mergeCell ref="CL1:CN1"/>
    <mergeCell ref="CO1:CQ1"/>
    <mergeCell ref="CS1:CU1"/>
    <mergeCell ref="CV1:CX1"/>
    <mergeCell ref="CZ1:DB1"/>
    <mergeCell ref="DC1:DE1"/>
    <mergeCell ref="DG1:DI1"/>
    <mergeCell ref="DJ1:DL1"/>
    <mergeCell ref="DN1:DP1"/>
    <mergeCell ref="DQ1:DS1"/>
    <mergeCell ref="DU1:DW1"/>
    <mergeCell ref="DX1:DZ1"/>
    <mergeCell ref="C6:D6"/>
    <mergeCell ref="J6:K6"/>
    <mergeCell ref="Q6:R6"/>
    <mergeCell ref="X6:Y6"/>
    <mergeCell ref="AE6:AF6"/>
    <mergeCell ref="AL6:AM6"/>
    <mergeCell ref="AX6:AY6"/>
    <mergeCell ref="BK6:BL6"/>
    <mergeCell ref="BR6:BS6"/>
    <mergeCell ref="BY6:BZ6"/>
    <mergeCell ref="CF6:CG6"/>
    <mergeCell ref="CM6:CN6"/>
    <mergeCell ref="CT6:CU6"/>
    <mergeCell ref="DA6:DB6"/>
    <mergeCell ref="DH6:DI6"/>
    <mergeCell ref="DO6:DP6"/>
    <mergeCell ref="DV6:DW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G59"/>
  <sheetViews>
    <sheetView zoomScaleSheetLayoutView="100" workbookViewId="0" topLeftCell="A1">
      <selection activeCell="C4" sqref="C4"/>
    </sheetView>
  </sheetViews>
  <sheetFormatPr defaultColWidth="9.00390625" defaultRowHeight="14.25"/>
  <cols>
    <col min="2" max="7" width="11.125" style="0" customWidth="1"/>
  </cols>
  <sheetData>
    <row r="1" spans="4:7" ht="14.25">
      <c r="D1" s="1" t="s">
        <v>286</v>
      </c>
      <c r="E1" s="1"/>
      <c r="F1" s="2"/>
      <c r="G1" s="1"/>
    </row>
    <row r="2" spans="2:6" ht="14.25">
      <c r="B2" s="3" t="s">
        <v>287</v>
      </c>
      <c r="C2" s="3"/>
      <c r="D2" s="3"/>
      <c r="E2" s="4"/>
      <c r="F2" s="4"/>
    </row>
    <row r="3" spans="2:7" ht="14.25">
      <c r="B3" s="5">
        <v>2723</v>
      </c>
      <c r="C3" s="4">
        <v>2700</v>
      </c>
      <c r="D3" s="4">
        <v>2300</v>
      </c>
      <c r="E3" s="4">
        <v>1</v>
      </c>
      <c r="F3" s="4">
        <f>E3*D3*C3/1000000</f>
        <v>6.21</v>
      </c>
      <c r="G3" s="4" t="s">
        <v>239</v>
      </c>
    </row>
    <row r="4" spans="2:7" ht="14.25">
      <c r="B4" s="4"/>
      <c r="C4" s="6">
        <f>C3-30</f>
        <v>2670</v>
      </c>
      <c r="D4" s="6">
        <f>D3-30</f>
        <v>2270</v>
      </c>
      <c r="E4" s="6">
        <f>E3</f>
        <v>1</v>
      </c>
      <c r="F4" s="7">
        <f>E4*D4*C4/1000000</f>
        <v>6.0609</v>
      </c>
      <c r="G4" s="8" t="s">
        <v>240</v>
      </c>
    </row>
    <row r="5" spans="2:7" ht="14.25">
      <c r="B5" s="4"/>
      <c r="C5" s="6">
        <f>C4</f>
        <v>2670</v>
      </c>
      <c r="D5" s="6">
        <f>D4</f>
        <v>2270</v>
      </c>
      <c r="E5" s="6">
        <f>E4</f>
        <v>1</v>
      </c>
      <c r="F5" s="9">
        <f>E5*D5*C5/1000000</f>
        <v>6.0609</v>
      </c>
      <c r="G5" s="10" t="s">
        <v>241</v>
      </c>
    </row>
    <row r="6" spans="2:7" ht="14.25">
      <c r="B6" s="4"/>
      <c r="C6" s="6"/>
      <c r="D6" s="6"/>
      <c r="E6" s="6"/>
      <c r="F6" s="9"/>
      <c r="G6" s="10"/>
    </row>
    <row r="7" spans="2:7" ht="14.25">
      <c r="B7" s="11" t="s">
        <v>242</v>
      </c>
      <c r="C7" s="12" t="s">
        <v>288</v>
      </c>
      <c r="D7" s="12"/>
      <c r="E7" s="4"/>
      <c r="F7" s="4"/>
      <c r="G7" s="4"/>
    </row>
    <row r="8" spans="2:7" ht="14.25">
      <c r="B8" s="13" t="s">
        <v>1</v>
      </c>
      <c r="C8" s="13" t="s">
        <v>244</v>
      </c>
      <c r="D8" s="14" t="s">
        <v>245</v>
      </c>
      <c r="E8" s="14" t="s">
        <v>160</v>
      </c>
      <c r="F8" s="14" t="s">
        <v>246</v>
      </c>
      <c r="G8" s="14" t="s">
        <v>247</v>
      </c>
    </row>
    <row r="9" spans="2:7" ht="14.25">
      <c r="B9" s="14">
        <v>1</v>
      </c>
      <c r="C9" s="13" t="s">
        <v>289</v>
      </c>
      <c r="D9" s="14">
        <f>C5</f>
        <v>2670</v>
      </c>
      <c r="E9" s="14">
        <f>E4*2</f>
        <v>2</v>
      </c>
      <c r="F9" s="14">
        <v>1.721</v>
      </c>
      <c r="G9" s="15">
        <f aca="true" t="shared" si="0" ref="G9:G12">F9*E9*D9/1000</f>
        <v>9.190140000000001</v>
      </c>
    </row>
    <row r="10" spans="2:7" ht="14.25">
      <c r="B10" s="14">
        <v>2</v>
      </c>
      <c r="C10" s="13"/>
      <c r="D10" s="14">
        <f>D5</f>
        <v>2270</v>
      </c>
      <c r="E10" s="14">
        <f>E4*2</f>
        <v>2</v>
      </c>
      <c r="F10" s="14">
        <v>1.721</v>
      </c>
      <c r="G10" s="15">
        <f t="shared" si="0"/>
        <v>7.81334</v>
      </c>
    </row>
    <row r="11" spans="2:7" ht="14.25">
      <c r="B11" s="14">
        <v>3</v>
      </c>
      <c r="C11" s="13" t="s">
        <v>290</v>
      </c>
      <c r="D11" s="14"/>
      <c r="E11" s="14"/>
      <c r="F11" s="14">
        <v>2.076</v>
      </c>
      <c r="G11" s="15">
        <f t="shared" si="0"/>
        <v>0</v>
      </c>
    </row>
    <row r="12" spans="2:7" ht="14.25">
      <c r="B12" s="14"/>
      <c r="C12" s="13"/>
      <c r="D12" s="14">
        <f>D5-30</f>
        <v>2240</v>
      </c>
      <c r="E12" s="14">
        <v>2</v>
      </c>
      <c r="F12" s="14">
        <v>2.076</v>
      </c>
      <c r="G12" s="15">
        <f t="shared" si="0"/>
        <v>9.30048</v>
      </c>
    </row>
    <row r="13" spans="2:7" ht="14.25">
      <c r="B13" s="14"/>
      <c r="C13" s="13"/>
      <c r="D13" s="14"/>
      <c r="E13" s="14"/>
      <c r="F13" s="14"/>
      <c r="G13" s="15"/>
    </row>
    <row r="14" spans="2:7" ht="14.25">
      <c r="B14" s="14"/>
      <c r="C14" s="13" t="s">
        <v>291</v>
      </c>
      <c r="D14" s="14">
        <v>50</v>
      </c>
      <c r="E14" s="14">
        <v>4</v>
      </c>
      <c r="F14" s="16">
        <v>2.401</v>
      </c>
      <c r="G14" s="15">
        <f aca="true" t="shared" si="1" ref="G14:G16">F14*E14*D14/1000</f>
        <v>0.4801999999999999</v>
      </c>
    </row>
    <row r="15" spans="2:7" ht="14.25">
      <c r="B15" s="14"/>
      <c r="C15" s="13" t="s">
        <v>292</v>
      </c>
      <c r="D15" s="14"/>
      <c r="E15" s="14"/>
      <c r="F15" s="14"/>
      <c r="G15" s="15">
        <f t="shared" si="1"/>
        <v>0</v>
      </c>
    </row>
    <row r="16" spans="2:7" ht="14.25">
      <c r="B16" s="14"/>
      <c r="C16" s="14"/>
      <c r="D16" s="14"/>
      <c r="E16" s="14"/>
      <c r="F16" s="14"/>
      <c r="G16" s="15">
        <f t="shared" si="1"/>
        <v>0</v>
      </c>
    </row>
    <row r="17" spans="2:7" ht="14.25">
      <c r="B17" s="14"/>
      <c r="C17" s="14"/>
      <c r="D17" s="14"/>
      <c r="E17" s="14"/>
      <c r="F17" s="14"/>
      <c r="G17" s="15"/>
    </row>
    <row r="18" spans="2:7" ht="14.25">
      <c r="B18" s="17" t="s">
        <v>257</v>
      </c>
      <c r="C18" s="17"/>
      <c r="D18" s="17">
        <v>900</v>
      </c>
      <c r="E18" s="17">
        <f>D5</f>
        <v>2270</v>
      </c>
      <c r="F18" s="17">
        <v>1</v>
      </c>
      <c r="G18" s="18"/>
    </row>
    <row r="19" spans="2:7" ht="14.25">
      <c r="B19" s="14">
        <v>7</v>
      </c>
      <c r="C19" s="13" t="s">
        <v>293</v>
      </c>
      <c r="D19" s="14">
        <f>D18</f>
        <v>900</v>
      </c>
      <c r="E19" s="14">
        <f>F18*2</f>
        <v>2</v>
      </c>
      <c r="F19" s="14">
        <v>2.307</v>
      </c>
      <c r="G19" s="15">
        <f aca="true" t="shared" si="2" ref="G19:G26">F19*E19*D19/1000</f>
        <v>4.1526</v>
      </c>
    </row>
    <row r="20" spans="2:7" ht="14.25">
      <c r="B20" s="14"/>
      <c r="C20" s="13"/>
      <c r="D20" s="14">
        <f>E18</f>
        <v>2270</v>
      </c>
      <c r="E20" s="14">
        <f>E19</f>
        <v>2</v>
      </c>
      <c r="F20" s="14">
        <v>2.307</v>
      </c>
      <c r="G20" s="15">
        <f t="shared" si="2"/>
        <v>10.47378</v>
      </c>
    </row>
    <row r="21" spans="2:7" ht="14.25">
      <c r="B21" s="14">
        <v>8</v>
      </c>
      <c r="C21" s="13" t="s">
        <v>294</v>
      </c>
      <c r="D21" s="14">
        <v>50</v>
      </c>
      <c r="E21" s="14">
        <f>F18*4</f>
        <v>4</v>
      </c>
      <c r="F21" s="16">
        <v>3.653</v>
      </c>
      <c r="G21" s="15">
        <f t="shared" si="2"/>
        <v>0.7306</v>
      </c>
    </row>
    <row r="22" spans="2:7" ht="14.25">
      <c r="B22" s="14"/>
      <c r="C22" s="13" t="s">
        <v>295</v>
      </c>
      <c r="D22" s="14">
        <f>D19-100</f>
        <v>800</v>
      </c>
      <c r="E22" s="14">
        <f>E19</f>
        <v>2</v>
      </c>
      <c r="F22" s="14">
        <v>0.234</v>
      </c>
      <c r="G22" s="15">
        <f t="shared" si="2"/>
        <v>0.3744</v>
      </c>
    </row>
    <row r="23" spans="2:7" ht="14.25">
      <c r="B23" s="14">
        <v>9</v>
      </c>
      <c r="C23" s="13"/>
      <c r="D23" s="14">
        <f>D20-100</f>
        <v>2170</v>
      </c>
      <c r="E23" s="14">
        <f>E20</f>
        <v>2</v>
      </c>
      <c r="F23" s="14">
        <v>0.234</v>
      </c>
      <c r="G23" s="15">
        <f t="shared" si="2"/>
        <v>1.01556</v>
      </c>
    </row>
    <row r="24" spans="2:7" ht="14.25">
      <c r="B24" s="14"/>
      <c r="C24" s="13" t="s">
        <v>296</v>
      </c>
      <c r="D24" s="14">
        <v>1700</v>
      </c>
      <c r="E24" s="14">
        <v>2</v>
      </c>
      <c r="F24" s="14">
        <v>0.234</v>
      </c>
      <c r="G24" s="15">
        <f t="shared" si="2"/>
        <v>0.7956</v>
      </c>
    </row>
    <row r="25" spans="2:7" ht="14.25">
      <c r="B25" s="14"/>
      <c r="C25" s="13"/>
      <c r="D25" s="14">
        <v>2260</v>
      </c>
      <c r="E25" s="14">
        <v>2</v>
      </c>
      <c r="F25" s="14">
        <v>0.234</v>
      </c>
      <c r="G25" s="15">
        <f t="shared" si="2"/>
        <v>1.05768</v>
      </c>
    </row>
    <row r="26" spans="2:7" ht="14.25">
      <c r="B26" s="14"/>
      <c r="C26" s="13"/>
      <c r="D26" s="14"/>
      <c r="E26" s="14"/>
      <c r="F26" s="14"/>
      <c r="G26" s="15">
        <f t="shared" si="2"/>
        <v>0</v>
      </c>
    </row>
    <row r="27" spans="2:7" ht="14.25">
      <c r="B27" s="14"/>
      <c r="C27" s="13"/>
      <c r="D27" s="14"/>
      <c r="E27" s="14"/>
      <c r="F27" s="14"/>
      <c r="G27" s="15"/>
    </row>
    <row r="28" spans="2:7" ht="14.25">
      <c r="B28" s="14"/>
      <c r="C28" s="13"/>
      <c r="D28" s="14"/>
      <c r="E28" s="14"/>
      <c r="F28" s="14"/>
      <c r="G28" s="15"/>
    </row>
    <row r="29" spans="2:7" ht="14.25">
      <c r="B29" s="14"/>
      <c r="C29" s="14" t="s">
        <v>266</v>
      </c>
      <c r="D29" s="14"/>
      <c r="E29" s="14"/>
      <c r="F29" s="15"/>
      <c r="G29" s="15">
        <f>SUM(G9:G26)</f>
        <v>45.38438000000001</v>
      </c>
    </row>
    <row r="30" spans="2:7" ht="14.25">
      <c r="B30" s="14"/>
      <c r="C30" s="14" t="s">
        <v>267</v>
      </c>
      <c r="D30" s="14"/>
      <c r="E30" s="14"/>
      <c r="F30" s="14"/>
      <c r="G30" s="19">
        <f>G29/F5*1.13</f>
        <v>8.461507267897506</v>
      </c>
    </row>
    <row r="31" spans="2:7" ht="14.25">
      <c r="B31" s="20">
        <v>3</v>
      </c>
      <c r="C31" s="21" t="s">
        <v>268</v>
      </c>
      <c r="D31" s="4"/>
      <c r="E31" s="4"/>
      <c r="F31" s="4"/>
      <c r="G31" s="4"/>
    </row>
    <row r="32" spans="2:7" ht="14.25">
      <c r="B32" s="13" t="s">
        <v>1</v>
      </c>
      <c r="C32" s="13" t="s">
        <v>244</v>
      </c>
      <c r="D32" s="22" t="s">
        <v>14</v>
      </c>
      <c r="E32" s="13" t="s">
        <v>15</v>
      </c>
      <c r="F32" s="13" t="s">
        <v>160</v>
      </c>
      <c r="G32" s="13" t="s">
        <v>269</v>
      </c>
    </row>
    <row r="33" spans="2:7" ht="14.25">
      <c r="B33" s="22"/>
      <c r="D33" s="14">
        <f>D18-100</f>
        <v>800</v>
      </c>
      <c r="E33" s="23">
        <f>E18-100</f>
        <v>2170</v>
      </c>
      <c r="F33" s="14">
        <f>F18</f>
        <v>1</v>
      </c>
      <c r="G33" s="24">
        <f>F33*E33*D33/1000000</f>
        <v>1.736</v>
      </c>
    </row>
    <row r="34" spans="2:7" ht="14.25">
      <c r="B34" s="22"/>
      <c r="C34" s="14"/>
      <c r="D34" s="23">
        <f>D24</f>
        <v>1700</v>
      </c>
      <c r="E34" s="14">
        <f>D25</f>
        <v>2260</v>
      </c>
      <c r="F34" s="14">
        <f>E4</f>
        <v>1</v>
      </c>
      <c r="G34" s="24">
        <f>F34*E34*D34/1000000</f>
        <v>3.842</v>
      </c>
    </row>
    <row r="35" spans="2:7" ht="14.25">
      <c r="B35" s="22"/>
      <c r="C35" s="14"/>
      <c r="D35" s="23"/>
      <c r="E35" s="14"/>
      <c r="F35" s="14"/>
      <c r="G35" s="24"/>
    </row>
    <row r="36" spans="2:7" ht="14.25">
      <c r="B36" s="22"/>
      <c r="C36" s="14"/>
      <c r="D36" s="23"/>
      <c r="E36" s="14"/>
      <c r="F36" s="14"/>
      <c r="G36" s="24"/>
    </row>
    <row r="37" spans="2:7" ht="14.25">
      <c r="B37" s="22"/>
      <c r="C37" s="14"/>
      <c r="D37" s="23"/>
      <c r="E37" s="14"/>
      <c r="F37" s="14"/>
      <c r="G37" s="24">
        <f>(G33+G34)/F5</f>
        <v>0.9203253642198354</v>
      </c>
    </row>
    <row r="38" spans="2:7" ht="14.25">
      <c r="B38" s="20">
        <v>4</v>
      </c>
      <c r="C38" s="21" t="s">
        <v>270</v>
      </c>
      <c r="D38" s="4"/>
      <c r="E38" s="4"/>
      <c r="F38" s="4"/>
      <c r="G38" s="4"/>
    </row>
    <row r="39" spans="2:7" ht="14.25">
      <c r="B39" s="13" t="s">
        <v>1</v>
      </c>
      <c r="C39" s="13" t="s">
        <v>244</v>
      </c>
      <c r="D39" s="13" t="s">
        <v>160</v>
      </c>
      <c r="E39" s="13" t="s">
        <v>271</v>
      </c>
      <c r="F39" s="13" t="s">
        <v>266</v>
      </c>
      <c r="G39" s="13"/>
    </row>
    <row r="40" spans="2:7" ht="14.25">
      <c r="B40" s="14">
        <v>1</v>
      </c>
      <c r="C40" s="13" t="s">
        <v>297</v>
      </c>
      <c r="D40" s="14">
        <v>1</v>
      </c>
      <c r="E40" s="13">
        <v>105</v>
      </c>
      <c r="F40" s="13">
        <f>E40*D40</f>
        <v>105</v>
      </c>
      <c r="G40" s="14"/>
    </row>
    <row r="41" spans="2:7" ht="14.25">
      <c r="B41" s="14">
        <v>2</v>
      </c>
      <c r="C41" s="13" t="s">
        <v>298</v>
      </c>
      <c r="D41" s="14">
        <v>3</v>
      </c>
      <c r="E41" s="13">
        <v>15</v>
      </c>
      <c r="F41" s="13">
        <f>E41*D41</f>
        <v>45</v>
      </c>
      <c r="G41" s="14"/>
    </row>
    <row r="42" spans="2:7" ht="14.25">
      <c r="B42" s="14">
        <v>3</v>
      </c>
      <c r="C42" s="13" t="s">
        <v>266</v>
      </c>
      <c r="D42" s="14"/>
      <c r="E42" s="14"/>
      <c r="F42" s="14">
        <f>SUM(F40:F41)</f>
        <v>150</v>
      </c>
      <c r="G42" s="14"/>
    </row>
    <row r="43" spans="2:7" ht="14.25">
      <c r="B43" s="14"/>
      <c r="C43" s="13" t="s">
        <v>274</v>
      </c>
      <c r="D43" s="14"/>
      <c r="E43" s="14"/>
      <c r="F43" s="25">
        <f>F42/F5</f>
        <v>24.748799683215363</v>
      </c>
      <c r="G43" s="14"/>
    </row>
    <row r="44" spans="2:7" ht="14.25">
      <c r="B44" s="4"/>
      <c r="C44" s="4"/>
      <c r="D44" s="4"/>
      <c r="E44" s="4"/>
      <c r="F44" s="4"/>
      <c r="G44" s="4"/>
    </row>
    <row r="45" spans="2:7" ht="14.25">
      <c r="B45" s="20">
        <v>5</v>
      </c>
      <c r="C45" s="21" t="s">
        <v>275</v>
      </c>
      <c r="D45" s="4"/>
      <c r="E45" s="4"/>
      <c r="F45" s="4"/>
      <c r="G45" s="4"/>
    </row>
    <row r="46" spans="2:7" ht="14.25">
      <c r="B46" s="4"/>
      <c r="C46" s="26"/>
      <c r="D46" s="4"/>
      <c r="E46" s="4"/>
      <c r="F46" s="4"/>
      <c r="G46" s="4"/>
    </row>
    <row r="47" spans="2:7" ht="14.25">
      <c r="B47" s="13" t="s">
        <v>1</v>
      </c>
      <c r="C47" s="13" t="s">
        <v>244</v>
      </c>
      <c r="D47" s="13" t="s">
        <v>160</v>
      </c>
      <c r="E47" s="13" t="s">
        <v>271</v>
      </c>
      <c r="F47" s="13" t="s">
        <v>276</v>
      </c>
      <c r="G47" s="13" t="s">
        <v>13</v>
      </c>
    </row>
    <row r="48" spans="2:7" ht="14.25">
      <c r="B48" s="13">
        <v>1</v>
      </c>
      <c r="C48" s="13" t="s">
        <v>299</v>
      </c>
      <c r="D48" s="15">
        <f>G30</f>
        <v>8.461507267897506</v>
      </c>
      <c r="E48" s="15">
        <v>24.9</v>
      </c>
      <c r="F48" s="15">
        <f>E48*D48</f>
        <v>210.69153097064788</v>
      </c>
      <c r="G48" s="14"/>
    </row>
    <row r="49" spans="2:7" ht="14.25">
      <c r="B49" s="13"/>
      <c r="C49" s="13"/>
      <c r="D49" s="15"/>
      <c r="E49" s="15"/>
      <c r="F49" s="15"/>
      <c r="G49" s="14"/>
    </row>
    <row r="50" spans="2:7" ht="21">
      <c r="B50" s="13">
        <v>2</v>
      </c>
      <c r="C50" s="27" t="s">
        <v>300</v>
      </c>
      <c r="D50" s="28">
        <v>0.86</v>
      </c>
      <c r="E50" s="28">
        <v>140</v>
      </c>
      <c r="F50" s="28">
        <f aca="true" t="shared" si="3" ref="F50:F56">E50*D50</f>
        <v>120.39999999999999</v>
      </c>
      <c r="G50" s="14"/>
    </row>
    <row r="51" spans="2:7" ht="14.25">
      <c r="B51" s="13">
        <v>3</v>
      </c>
      <c r="C51" s="29" t="s">
        <v>278</v>
      </c>
      <c r="D51" s="30">
        <f>(C4*2+D4*2)/1000</f>
        <v>9.88</v>
      </c>
      <c r="E51" s="30">
        <v>8.5</v>
      </c>
      <c r="F51" s="30"/>
      <c r="G51" s="14"/>
    </row>
    <row r="52" spans="2:7" ht="14.25">
      <c r="B52" s="13"/>
      <c r="C52" s="29" t="s">
        <v>279</v>
      </c>
      <c r="D52" s="30">
        <v>1</v>
      </c>
      <c r="E52" s="30">
        <v>16</v>
      </c>
      <c r="F52" s="30"/>
      <c r="G52" s="14"/>
    </row>
    <row r="53" spans="2:7" ht="14.25">
      <c r="B53" s="13">
        <v>4</v>
      </c>
      <c r="C53" s="13" t="s">
        <v>270</v>
      </c>
      <c r="D53" s="14"/>
      <c r="E53" s="14"/>
      <c r="F53" s="15">
        <f>F43</f>
        <v>24.748799683215363</v>
      </c>
      <c r="G53" s="14"/>
    </row>
    <row r="54" spans="2:7" ht="14.25">
      <c r="B54" s="13">
        <v>5</v>
      </c>
      <c r="C54" s="13" t="s">
        <v>280</v>
      </c>
      <c r="D54" s="14">
        <v>1</v>
      </c>
      <c r="E54" s="14">
        <v>28</v>
      </c>
      <c r="F54" s="15">
        <f t="shared" si="3"/>
        <v>28</v>
      </c>
      <c r="G54" s="13"/>
    </row>
    <row r="55" spans="2:7" ht="14.25">
      <c r="B55" s="13">
        <v>6</v>
      </c>
      <c r="C55" s="13" t="s">
        <v>281</v>
      </c>
      <c r="D55" s="14">
        <v>1</v>
      </c>
      <c r="E55" s="14">
        <v>45</v>
      </c>
      <c r="F55" s="15">
        <f t="shared" si="3"/>
        <v>45</v>
      </c>
      <c r="G55" s="13"/>
    </row>
    <row r="56" spans="2:7" ht="14.25">
      <c r="B56" s="13">
        <v>7</v>
      </c>
      <c r="C56" s="13" t="s">
        <v>282</v>
      </c>
      <c r="D56" s="14">
        <v>1</v>
      </c>
      <c r="E56" s="14">
        <v>35</v>
      </c>
      <c r="F56" s="15">
        <f t="shared" si="3"/>
        <v>35</v>
      </c>
      <c r="G56" s="13"/>
    </row>
    <row r="57" spans="2:7" ht="14.25">
      <c r="B57" s="13">
        <v>8</v>
      </c>
      <c r="C57" s="13" t="s">
        <v>283</v>
      </c>
      <c r="D57" s="14"/>
      <c r="E57" s="14"/>
      <c r="F57" s="15">
        <f>SUM(F48:F56)</f>
        <v>463.8403306538632</v>
      </c>
      <c r="G57" s="14"/>
    </row>
    <row r="58" spans="2:7" ht="14.25">
      <c r="B58" s="13">
        <v>9</v>
      </c>
      <c r="C58" s="13" t="s">
        <v>284</v>
      </c>
      <c r="D58" s="14" t="s">
        <v>301</v>
      </c>
      <c r="E58" s="14"/>
      <c r="F58" s="25">
        <f>F57*1.19</f>
        <v>551.9699934780972</v>
      </c>
      <c r="G58" s="14"/>
    </row>
    <row r="59" spans="2:7" ht="14.25">
      <c r="B59" s="31"/>
      <c r="C59" s="31"/>
      <c r="D59" s="31"/>
      <c r="E59" s="31"/>
      <c r="F59" s="31"/>
      <c r="G59" s="31"/>
    </row>
  </sheetData>
  <sheetProtection/>
  <mergeCells count="4">
    <mergeCell ref="D1:G1"/>
    <mergeCell ref="B2:D2"/>
    <mergeCell ref="E2:F2"/>
    <mergeCell ref="C7: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holly</cp:lastModifiedBy>
  <cp:lastPrinted>2018-04-27T12:12:18Z</cp:lastPrinted>
  <dcterms:created xsi:type="dcterms:W3CDTF">2011-10-15T02:21:46Z</dcterms:created>
  <dcterms:modified xsi:type="dcterms:W3CDTF">2024-01-16T02:50:38Z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71A0CACAFA0A4C7E93B81797738B5429</vt:lpwstr>
  </property>
  <property fmtid="{D5CDD505-2E9C-101B-9397-08002B2CF9AE}" pid="5" name="KSOReadingLayo">
    <vt:bool>true</vt:bool>
  </property>
</Properties>
</file>